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C3BEC32E-3E35-453B-95C0-6A96B6C48E8E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E54" i="1" l="1"/>
  <c r="Z46" i="2" s="1"/>
  <c r="H70" i="1"/>
  <c r="AH42" i="2" s="1"/>
  <c r="AQ24" i="2" s="1"/>
  <c r="AQ25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G40" i="1"/>
  <c r="BY31" i="2"/>
  <c r="BZ31" i="2"/>
  <c r="G42" i="1"/>
  <c r="H42" i="1" s="1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53" i="1" s="1"/>
  <c r="H53" i="1"/>
  <c r="I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Q15" i="2" l="1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<sst xmlns="http://schemas.openxmlformats.org/spreadsheetml/2006/main" count="451" uniqueCount="302">
  <si>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</si>
  <si>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</si>
  <si>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</si>
  <si>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</si>
  <si>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</si>
  <si>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</si>
  <si>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</si>
  <si>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</si>
  <si>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</si>
  <si>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</si>
  <si>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</si>
  <si>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</si>
  <si>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</si>
  <si>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</si>
  <si>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</si>
  <si>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</si>
  <si>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</si>
  <si>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</si>
  <si>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</si>
  <si>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</si>
  <si>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</si>
  <si>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</si>
  <si>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</si>
  <si>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</si>
  <si>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</si>
  <si>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</si>
  <si>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</si>
  <si>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</si>
  <si>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</si>
  <si>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</si>
  <si>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</si>
  <si>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</si>
  <si>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</si>
  <si>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</si>
  <si>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</si>
  <si>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</si>
  <si>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</si>
  <si>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</si>
  <si>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</si>
  <si>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</si>
  <si>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</si>
  <si>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</si>
  <si>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</si>
  <si>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</si>
  <si>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</si>
  <si>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</si>
  <si>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</si>
  <si>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</si>
  <si>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</si>
  <si>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</si>
  <si>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</si>
  <si>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</si>
  <si>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</si>
  <si>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</si>
  <si>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</si>
  <si>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</si>
  <si>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</si>
  <si>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</si>
  <si>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</si>
  <si>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</si>
  <si>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</si>
  <si>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</si>
  <si>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</si>
  <si>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</si>
  <si>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</si>
  <si>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</si>
  <si>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</si>
  <si>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</si>
  <si>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</si>
  <si>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</si>
  <si>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</si>
  <si>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</si>
  <si>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</si>
  <si>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</si>
  <si>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</si>
  <si>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</si>
  <si>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</si>
  <si>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</si>
  <si>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</si>
  <si>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</si>
  <si>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</si>
  <si>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</si>
  <si>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</si>
  <si>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</si>
  <si>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</si>
  <si>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</si>
  <si>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</si>
  <si>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</si>
  <si>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</si>
  <si>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</si>
  <si>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</si>
  <si>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</si>
  <si>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</si>
  <si>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</si>
  <si>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</si>
  <si>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</si>
  <si>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</si>
  <si>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</si>
  <si>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</si>
  <si>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</si>
  <si>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</si>
  <si>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</si>
  <si>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</si>
  <si>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</si>
  <si>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</si>
  <si>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</si>
  <si>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</si>
  <si>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</si>
  <si>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</si>
  <si>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</si>
  <si>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</si>
  <si>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</si>
  <si>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</si>
  <si>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</si>
  <si>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</si>
  <si>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</si>
  <si>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</si>
  <si>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</si>
  <si>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</si>
  <si>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</si>
  <si>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</si>
  <si>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</si>
  <si>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</si>
  <si>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</si>
  <si>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</si>
  <si>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</si>
  <si>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</si>
  <si>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</si>
  <si>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</si>
  <si>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</si>
  <si>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</si>
  <si>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</si>
  <si>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</si>
  <si>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</si>
  <si>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</si>
  <si>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</si>
  <si>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</si>
  <si>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</si>
  <si>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</si>
  <si>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</si>
  <si>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</si>
  <si>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</si>
  <si>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</si>
  <si>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</si>
  <si>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</si>
  <si>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</si>
  <si>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</si>
  <si>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</si>
  <si>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</si>
  <si>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</si>
  <si>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</si>
  <si>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</si>
  <si>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</si>
  <si>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</si>
  <si>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</si>
  <si>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</si>
  <si>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</si>
  <si>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</si>
  <si>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</si>
  <si>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</si>
  <si>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</si>
  <si>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</si>
  <si>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</si>
  <si>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</si>
  <si>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</si>
  <si>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</si>
  <si>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</si>
  <si>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</si>
  <si>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</si>
  <si>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</si>
  <si>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</si>
  <si>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</si>
  <si>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</si>
  <si>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</si>
  <si>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</si>
  <si>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</si>
  <si>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</si>
  <si>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</si>
  <si>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</si>
  <si>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</si>
  <si>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</si>
  <si>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</si>
  <si>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</si>
  <si>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</si>
  <si>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</si>
  <si>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</si>
  <si>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</si>
  <si>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</si>
  <si>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</si>
  <si>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</si>
  <si>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</si>
  <si>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</si>
  <si>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</si>
  <si>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</si>
  <si>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</si>
  <si>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</si>
  <si>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</si>
  <si>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</si>
  <si>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</si>
  <si>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</si>
  <si>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</si>
  <si>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</si>
  <si>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</si>
  <si>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</si>
  <si>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</si>
  <si>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</si>
  <si>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</si>
  <si>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</si>
  <si>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</si>
  <si>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</si>
  <si>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</si>
  <si>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</si>
  <si>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</si>
  <si>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</si>
  <si>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</si>
  <si>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</si>
  <si>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</si>
  <si>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</si>
  <si>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</si>
  <si>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</si>
  <si>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</si>
  <si>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</si>
  <si>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</si>
  <si>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</si>
  <si>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</si>
  <si>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</si>
  <si>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</si>
  <si>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</si>
  <si>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</si>
  <si>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</si>
  <si>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</si>
  <si>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</si>
  <si>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</si>
  <si>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</si>
  <si>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</si>
  <si>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</si>
  <si>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</si>
  <si>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</si>
  <si>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</si>
  <si>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</si>
  <si>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</si>
  <si>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</si>
  <si>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</si>
  <si>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</si>
  <si>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</si>
  <si>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</si>
  <si>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</si>
  <si>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</si>
  <si>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</si>
  <si>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</si>
  <si>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</si>
  <si>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</si>
  <si>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</si>
  <si>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</si>
  <si>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</si>
  <si>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</si>
  <si>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</si>
  <si>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</si>
  <si>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</si>
  <si>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</si>
  <si>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</si>
  <si>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</si>
  <si>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</si>
  <si>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</si>
  <si>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</si>
  <si>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</si>
  <si>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</si>
  <si>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</si>
  <si>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</si>
  <si>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</si>
  <si>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</si>
  <si>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</si>
  <si>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</si>
  <si>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</si>
  <si>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</si>
  <si>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</si>
  <si>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</si>
  <si>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</si>
  <si>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</si>
  <si>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</si>
  <si>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</si>
  <si>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</si>
  <si>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</si>
  <si>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</si>
  <si>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</si>
  <si>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</si>
  <si>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</si>
  <si>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</si>
  <si>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</si>
  <si>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</si>
  <si>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</si>
  <si>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</si>
  <si>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</si>
  <si>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</si>
  <si>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</si>
  <si>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</si>
  <si>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</si>
  <si>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</si>
  <si>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</si>
  <si>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</si>
  <si>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</si>
  <si>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Laverie automatique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</si>
</sst>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301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92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800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>
        <v>1000</v>
      </c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/>
      <c r="C24" s="5"/>
      <c r="G24" s="232"/>
      <c r="H24" s="232"/>
    </row>
    <row r="25" spans="1:8" ht="15.1" customHeight="1" x14ac:dyDescent="0.25">
      <c r="A25" s="276" t="s">
        <v>49</v>
      </c>
      <c r="B25" s="255">
        <v>800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1000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15000</v>
      </c>
      <c r="C29" s="5" t="s">
        <v>12</v>
      </c>
    </row>
    <row r="30" spans="1:8" x14ac:dyDescent="0.25">
      <c r="A30" s="276" t="s">
        <v>39</v>
      </c>
      <c r="B30" s="255">
        <v>85000</v>
      </c>
      <c r="C30" s="5" t="s">
        <v>13</v>
      </c>
    </row>
    <row r="31" spans="1:8" x14ac:dyDescent="0.25">
      <c r="A31" s="276" t="s">
        <v>14</v>
      </c>
      <c r="B31" s="255">
        <v>500</v>
      </c>
      <c r="C31" s="5" t="s">
        <v>15</v>
      </c>
    </row>
    <row r="32" spans="1:8" x14ac:dyDescent="0.25">
      <c r="A32" s="276" t="s">
        <v>16</v>
      </c>
      <c r="B32" s="255">
        <v>1500</v>
      </c>
      <c r="C32" s="5" t="s">
        <v>17</v>
      </c>
    </row>
    <row r="33" spans="1:13" ht="15.25" thickBot="1" x14ac:dyDescent="0.3">
      <c r="A33" s="276" t="s">
        <v>40</v>
      </c>
      <c r="B33" s="255">
        <v>6000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116600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108100</v>
      </c>
      <c r="C39" s="116">
        <f t="shared" ref="C39:C54" si="0">IF(ISERROR($B39/$C$36),0,$B39/$C$36)</f>
        <v>21620</v>
      </c>
      <c r="D39" s="116">
        <f>IF($B39&gt;(SUM(C39:$C39)),IF(ISERROR($B39/$C$36),"",$B39/$C$36),0)</f>
        <v>21620</v>
      </c>
      <c r="E39" s="116">
        <f>IF($B39&gt;(SUM($C39:D39)),IF(ISERROR($B39/$C$36),"",$B39/$C$36),0)</f>
        <v>21620</v>
      </c>
      <c r="F39" s="116">
        <f>IF($B39&gt;(SUM($C39:E39)),IF(ISERROR($B39/$C$36),"",$B39/$C$36),0)</f>
        <v>21620</v>
      </c>
      <c r="G39" s="116">
        <f>IF($B39&gt;(SUM($C39:F39)),IF(ISERROR($B39/$C$36),"",$B39/$C$36),0)</f>
        <v>21620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108100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160</v>
      </c>
      <c r="D40" s="75">
        <f>IF($B40&gt;(SUM(C40:$C40)),IF(ISERROR($B40/$C$36),"",$B40/$C$36),0)</f>
        <v>160</v>
      </c>
      <c r="E40" s="75">
        <f>IF($B40&gt;(SUM($C40:D40)),IF(ISERROR($B40/$C$36),"",$B40/$C$36),0)</f>
        <v>160</v>
      </c>
      <c r="F40" s="75">
        <f>IF($B40&gt;(SUM($C40:E40)),IF(ISERROR($B40/$C$36),"",$B40/$C$36),0)</f>
        <v>160</v>
      </c>
      <c r="G40" s="75">
        <f>IF($B40&gt;(SUM($C40:F40)),IF(ISERROR($B40/$C$36),"",$B40/$C$36),0)</f>
        <v>160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300</v>
      </c>
      <c r="D42" s="75">
        <f>IF($B42&gt;(SUM(C42:$C42)),IF(ISERROR($B42/$C$36),"",$B42/$C$36),0)</f>
        <v>300</v>
      </c>
      <c r="E42" s="75">
        <f>IF($B42&gt;(SUM($C42:D42)),IF(ISERROR($B42/$C$36),"",$B42/$C$36),0)</f>
        <v>300</v>
      </c>
      <c r="F42" s="75">
        <f>IF($B42&gt;(SUM($C42:E42)),IF(ISERROR($B42/$C$36),"",$B42/$C$36),0)</f>
        <v>300</v>
      </c>
      <c r="G42" s="75">
        <f>IF($B42&gt;(SUM($C42:F42)),IF(ISERROR($B42/$C$36),"",$B42/$C$36),0)</f>
        <v>300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800</v>
      </c>
      <c r="C48" s="75">
        <f t="shared" si="0"/>
        <v>160</v>
      </c>
      <c r="D48" s="75">
        <f>IF($B48&gt;(SUM(C48:$C48)),IF(ISERROR($B48/$C$36),"",$B48/$C$36),0)</f>
        <v>160</v>
      </c>
      <c r="E48" s="75">
        <f>IF($B48&gt;(SUM($C48:D48)),IF(ISERROR($B48/$C$36),"",$B48/$C$36),0)</f>
        <v>160</v>
      </c>
      <c r="F48" s="75">
        <f>IF($B48&gt;(SUM($C48:E48)),IF(ISERROR($B48/$C$36),"",$B48/$C$36),0)</f>
        <v>160</v>
      </c>
      <c r="G48" s="75">
        <f>IF($B48&gt;(SUM($C48:F48)),IF(ISERROR($B48/$C$36),"",$B48/$C$36),0)</f>
        <v>160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800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1000</v>
      </c>
      <c r="C49" s="75">
        <f t="shared" si="0"/>
        <v>200</v>
      </c>
      <c r="D49" s="75">
        <f>IF($B49&gt;(SUM(C49:$C49)),IF(ISERROR($B49/$C$36),"",$B49/$C$36),0)</f>
        <v>200</v>
      </c>
      <c r="E49" s="75">
        <f>IF($B49&gt;(SUM($C49:D49)),IF(ISERROR($B49/$C$36),"",$B49/$C$36),0)</f>
        <v>200</v>
      </c>
      <c r="F49" s="75">
        <f>IF($B49&gt;(SUM($C49:E49)),IF(ISERROR($B49/$C$36),"",$B49/$C$36),0)</f>
        <v>200</v>
      </c>
      <c r="G49" s="75">
        <f>IF($B49&gt;(SUM($C49:F49)),IF(ISERROR($B49/$C$36),"",$B49/$C$36),0)</f>
        <v>200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1000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15000</v>
      </c>
      <c r="C52" s="75">
        <f t="shared" si="0"/>
        <v>3000</v>
      </c>
      <c r="D52" s="75">
        <f>IF($B52&gt;(SUM(C52:$C52)),IF(ISERROR($B52/$C$36),"",$B52/$C$36),0)</f>
        <v>3000</v>
      </c>
      <c r="E52" s="75">
        <f>IF($B52&gt;(SUM($C52:D52)),IF(ISERROR($B52/$C$36),"",$B52/$C$36),0)</f>
        <v>3000</v>
      </c>
      <c r="F52" s="75">
        <f>IF($B52&gt;(SUM($C52:E52)),IF(ISERROR($B52/$C$36),"",$B52/$C$36),0)</f>
        <v>3000</v>
      </c>
      <c r="G52" s="75">
        <f>IF($B52&gt;(SUM($C52:F52)),IF(ISERROR($B52/$C$36),"",$B52/$C$36),0)</f>
        <v>3000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15000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85000</v>
      </c>
      <c r="C53" s="75">
        <f t="shared" si="0"/>
        <v>17000</v>
      </c>
      <c r="D53" s="75">
        <f>IF($B53&gt;(SUM(C53:$C53)),IF(ISERROR($B53/$C$36),"",$B53/$C$36),0)</f>
        <v>17000</v>
      </c>
      <c r="E53" s="75">
        <f>IF($B53&gt;(SUM($C53:D53)),IF(ISERROR($B53/$C$36),"",$B53/$C$36),0)</f>
        <v>17000</v>
      </c>
      <c r="F53" s="75">
        <f>IF($B53&gt;(SUM($C53:E53)),IF(ISERROR($B53/$C$36),"",$B53/$C$36),0)</f>
        <v>17000</v>
      </c>
      <c r="G53" s="75">
        <f>IF($B53&gt;(SUM($C53:F53)),IF(ISERROR($B53/$C$36),"",$B53/$C$36),0)</f>
        <v>17000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85000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500</v>
      </c>
      <c r="C54" s="75">
        <f t="shared" si="0"/>
        <v>100</v>
      </c>
      <c r="D54" s="75">
        <f>IF($B54&gt;(SUM(C54:$C54)),IF(ISERROR($B54/$C$36),"",$B54/$C$36),0)</f>
        <v>100</v>
      </c>
      <c r="E54" s="75">
        <f>IF($B54&gt;(SUM($C54:D54)),IF(ISERROR($B54/$C$36),"",$B54/$C$36),0)</f>
        <v>100</v>
      </c>
      <c r="F54" s="75">
        <f>IF($B54&gt;(SUM($C54:E54)),IF(ISERROR($B54/$C$36),"",$B54/$C$36),0)</f>
        <v>100</v>
      </c>
      <c r="G54" s="75">
        <f>IF($B54&gt;(SUM($C54:F54)),IF(ISERROR($B54/$C$36),"",$B54/$C$36),0)</f>
        <v>100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55000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61600</v>
      </c>
      <c r="C61" s="257">
        <v>0.04</v>
      </c>
      <c r="D61" s="258">
        <f>12*7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116600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841.99847032777461</v>
      </c>
      <c r="C70" s="79">
        <f>B70*D61</f>
        <v>70727.871507533069</v>
      </c>
      <c r="D70" s="82">
        <f>IF(ISERROR(B61/D61),0,B61/D61)</f>
        <v>733.33333333333337</v>
      </c>
      <c r="E70" s="152">
        <f>B70-D70</f>
        <v>108.66513699444124</v>
      </c>
      <c r="F70" s="80">
        <f>E70*D61</f>
        <v>9127.8715075330638</v>
      </c>
      <c r="G70" s="153">
        <f>IF($D61&gt;12,$E70*12,$E70*$D61)</f>
        <v>1303.9816439332949</v>
      </c>
      <c r="H70" s="153">
        <f>IF($D61-12&lt;0,0,IF($D61&gt;24,$E70*12,($D61-12)*$E70))</f>
        <v>1303.9816439332949</v>
      </c>
      <c r="I70" s="153">
        <f>IF($D61-24&lt;0,0,IF($D61&gt;36,$E70*12,($D61-24)*$E70))</f>
        <v>1303.9816439332949</v>
      </c>
      <c r="J70" s="153">
        <f>IF($D61&gt;12,$D70*12,$D70*$D61)</f>
        <v>8800</v>
      </c>
      <c r="K70" s="153">
        <f>IF($D61-12&lt;0,0,IF($D61&gt;24,$D70*12,($D61-12)*$D70))</f>
        <v>8800</v>
      </c>
      <c r="L70" s="153">
        <f>IF($D61-24&lt;0,0,IF($D61&gt;36,$D70*12,($D61-24)*$D70))</f>
        <v>8800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1303.9816439332949</v>
      </c>
      <c r="J73" s="203">
        <f t="shared" si="17"/>
        <v>8800</v>
      </c>
      <c r="K73" s="203">
        <f t="shared" si="17"/>
        <v>8800</v>
      </c>
      <c r="L73" s="203">
        <f t="shared" si="17"/>
        <v>8800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700</v>
      </c>
      <c r="C78" s="260">
        <v>750</v>
      </c>
      <c r="D78" s="261">
        <v>800</v>
      </c>
      <c r="G78" s="233"/>
      <c r="H78" s="233"/>
    </row>
    <row r="79" spans="1:12" ht="15.1" customHeight="1" x14ac:dyDescent="0.25">
      <c r="A79" s="276" t="s">
        <v>44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263</v>
      </c>
      <c r="B80" s="259">
        <v>500</v>
      </c>
      <c r="C80" s="260">
        <v>500</v>
      </c>
      <c r="D80" s="261">
        <v>500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5500</v>
      </c>
      <c r="C82" s="260">
        <v>6500</v>
      </c>
      <c r="D82" s="261">
        <v>8000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800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2500</v>
      </c>
      <c r="C85" s="260">
        <v>2700</v>
      </c>
      <c r="D85" s="261">
        <v>2900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800</v>
      </c>
      <c r="C86" s="260">
        <v>800</v>
      </c>
      <c r="D86" s="261">
        <v>850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3000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29</v>
      </c>
      <c r="B88" s="259">
        <v>20000</v>
      </c>
      <c r="C88" s="260">
        <v>21000</v>
      </c>
      <c r="D88" s="261">
        <v>22000</v>
      </c>
      <c r="E88" s="5"/>
    </row>
    <row r="89" spans="1:8" x14ac:dyDescent="0.25">
      <c r="A89" s="276" t="s">
        <v>30</v>
      </c>
      <c r="B89" s="259">
        <v>2500</v>
      </c>
      <c r="C89" s="260">
        <v>2800</v>
      </c>
      <c r="D89" s="261">
        <v>3000</v>
      </c>
      <c r="E89" s="5"/>
    </row>
    <row r="90" spans="1:8" x14ac:dyDescent="0.25">
      <c r="A90" s="276" t="s">
        <v>31</v>
      </c>
      <c r="B90" s="259">
        <v>1000</v>
      </c>
      <c r="C90" s="260">
        <v>1100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38900</v>
      </c>
      <c r="C97" s="10">
        <f>SUM(C77:C95)</f>
        <v>41620</v>
      </c>
      <c r="D97" s="10">
        <f>SUM(D77:D95)</f>
        <v>45090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/>
      <c r="C103" s="255"/>
      <c r="D103" s="12">
        <f>B103*C103</f>
        <v>0</v>
      </c>
      <c r="F103" s="281" t="s">
        <v>210</v>
      </c>
      <c r="G103" s="262">
        <v>30</v>
      </c>
      <c r="H103" s="255">
        <v>150</v>
      </c>
      <c r="I103" s="12">
        <f>G103*H103</f>
        <v>4500</v>
      </c>
    </row>
    <row r="104" spans="1:9" x14ac:dyDescent="0.25">
      <c r="A104" s="279" t="s">
        <v>211</v>
      </c>
      <c r="B104" s="262"/>
      <c r="C104" s="255"/>
      <c r="D104" s="12">
        <f t="shared" ref="D104:D114" si="18">B104*C104</f>
        <v>0</v>
      </c>
      <c r="F104" s="282" t="s">
        <v>211</v>
      </c>
      <c r="G104" s="262">
        <v>30</v>
      </c>
      <c r="H104" s="255">
        <v>200</v>
      </c>
      <c r="I104" s="12">
        <f t="shared" ref="I104:I114" si="19">G104*H104</f>
        <v>6000</v>
      </c>
    </row>
    <row r="105" spans="1:9" x14ac:dyDescent="0.25">
      <c r="A105" s="279" t="s">
        <v>212</v>
      </c>
      <c r="B105" s="262"/>
      <c r="C105" s="255"/>
      <c r="D105" s="12">
        <f t="shared" si="18"/>
        <v>0</v>
      </c>
      <c r="F105" s="282" t="s">
        <v>212</v>
      </c>
      <c r="G105" s="262">
        <v>30</v>
      </c>
      <c r="H105" s="255">
        <v>250</v>
      </c>
      <c r="I105" s="12">
        <f t="shared" si="19"/>
        <v>7500</v>
      </c>
    </row>
    <row r="106" spans="1:9" x14ac:dyDescent="0.25">
      <c r="A106" s="279" t="s">
        <v>217</v>
      </c>
      <c r="B106" s="262"/>
      <c r="C106" s="255"/>
      <c r="D106" s="12">
        <f t="shared" si="18"/>
        <v>0</v>
      </c>
      <c r="F106" s="282" t="s">
        <v>217</v>
      </c>
      <c r="G106" s="262">
        <v>30</v>
      </c>
      <c r="H106" s="255">
        <v>270</v>
      </c>
      <c r="I106" s="12">
        <f t="shared" si="19"/>
        <v>8100</v>
      </c>
    </row>
    <row r="107" spans="1:9" x14ac:dyDescent="0.25">
      <c r="A107" s="279" t="s">
        <v>219</v>
      </c>
      <c r="B107" s="262"/>
      <c r="C107" s="255"/>
      <c r="D107" s="12">
        <f t="shared" si="18"/>
        <v>0</v>
      </c>
      <c r="F107" s="282" t="s">
        <v>219</v>
      </c>
      <c r="G107" s="262">
        <v>30</v>
      </c>
      <c r="H107" s="255">
        <v>280</v>
      </c>
      <c r="I107" s="12">
        <f t="shared" si="19"/>
        <v>8400</v>
      </c>
    </row>
    <row r="108" spans="1:9" x14ac:dyDescent="0.25">
      <c r="A108" s="279" t="s">
        <v>220</v>
      </c>
      <c r="B108" s="262"/>
      <c r="C108" s="255"/>
      <c r="D108" s="12">
        <f t="shared" si="18"/>
        <v>0</v>
      </c>
      <c r="F108" s="282" t="s">
        <v>220</v>
      </c>
      <c r="G108" s="262">
        <v>30</v>
      </c>
      <c r="H108" s="255">
        <v>290</v>
      </c>
      <c r="I108" s="12">
        <f t="shared" si="19"/>
        <v>8700</v>
      </c>
    </row>
    <row r="109" spans="1:9" x14ac:dyDescent="0.25">
      <c r="A109" s="279" t="s">
        <v>221</v>
      </c>
      <c r="B109" s="262"/>
      <c r="C109" s="255"/>
      <c r="D109" s="12">
        <f t="shared" si="18"/>
        <v>0</v>
      </c>
      <c r="F109" s="282" t="s">
        <v>221</v>
      </c>
      <c r="G109" s="262">
        <v>30</v>
      </c>
      <c r="H109" s="255">
        <v>300</v>
      </c>
      <c r="I109" s="12">
        <f t="shared" si="19"/>
        <v>9000</v>
      </c>
    </row>
    <row r="110" spans="1:9" x14ac:dyDescent="0.25">
      <c r="A110" s="279" t="s">
        <v>222</v>
      </c>
      <c r="B110" s="262"/>
      <c r="C110" s="255"/>
      <c r="D110" s="12">
        <f t="shared" si="18"/>
        <v>0</v>
      </c>
      <c r="F110" s="282" t="s">
        <v>222</v>
      </c>
      <c r="G110" s="262">
        <v>30</v>
      </c>
      <c r="H110" s="255">
        <v>300</v>
      </c>
      <c r="I110" s="12">
        <f t="shared" si="19"/>
        <v>9000</v>
      </c>
    </row>
    <row r="111" spans="1:9" x14ac:dyDescent="0.25">
      <c r="A111" s="279" t="s">
        <v>223</v>
      </c>
      <c r="B111" s="262"/>
      <c r="C111" s="255"/>
      <c r="D111" s="12">
        <f t="shared" si="18"/>
        <v>0</v>
      </c>
      <c r="F111" s="282" t="s">
        <v>223</v>
      </c>
      <c r="G111" s="262">
        <v>30</v>
      </c>
      <c r="H111" s="255">
        <v>300</v>
      </c>
      <c r="I111" s="12">
        <f t="shared" si="19"/>
        <v>9000</v>
      </c>
    </row>
    <row r="112" spans="1:9" x14ac:dyDescent="0.25">
      <c r="A112" s="279" t="s">
        <v>224</v>
      </c>
      <c r="B112" s="262"/>
      <c r="C112" s="255"/>
      <c r="D112" s="12">
        <f t="shared" si="18"/>
        <v>0</v>
      </c>
      <c r="F112" s="282" t="s">
        <v>224</v>
      </c>
      <c r="G112" s="262">
        <v>30</v>
      </c>
      <c r="H112" s="255">
        <v>300</v>
      </c>
      <c r="I112" s="12">
        <f t="shared" si="19"/>
        <v>9000</v>
      </c>
    </row>
    <row r="113" spans="1:9" x14ac:dyDescent="0.25">
      <c r="A113" s="279" t="s">
        <v>225</v>
      </c>
      <c r="B113" s="262"/>
      <c r="C113" s="255"/>
      <c r="D113" s="12">
        <f t="shared" si="18"/>
        <v>0</v>
      </c>
      <c r="F113" s="282" t="s">
        <v>225</v>
      </c>
      <c r="G113" s="262">
        <v>30</v>
      </c>
      <c r="H113" s="255">
        <v>300</v>
      </c>
      <c r="I113" s="12">
        <f t="shared" si="19"/>
        <v>9000</v>
      </c>
    </row>
    <row r="114" spans="1:9" ht="15.25" thickBot="1" x14ac:dyDescent="0.3">
      <c r="A114" s="279" t="s">
        <v>226</v>
      </c>
      <c r="B114" s="262"/>
      <c r="C114" s="255"/>
      <c r="D114" s="12">
        <f t="shared" si="18"/>
        <v>0</v>
      </c>
      <c r="F114" s="282" t="s">
        <v>226</v>
      </c>
      <c r="G114" s="262">
        <v>30</v>
      </c>
      <c r="H114" s="255">
        <v>300</v>
      </c>
      <c r="I114" s="12">
        <f t="shared" si="19"/>
        <v>9000</v>
      </c>
    </row>
    <row r="115" spans="1:9" ht="15.25" thickBot="1" x14ac:dyDescent="0.3">
      <c r="A115" s="14" t="s">
        <v>48</v>
      </c>
      <c r="D115" s="13">
        <f>SUM(D103:D114)</f>
        <v>0</v>
      </c>
      <c r="F115" s="205" t="s">
        <v>48</v>
      </c>
      <c r="I115" s="13">
        <f>SUM(I103:I114)</f>
        <v>97200</v>
      </c>
    </row>
    <row r="116" spans="1:9" x14ac:dyDescent="0.25">
      <c r="F116" s="26"/>
    </row>
    <row r="117" spans="1:9" ht="15.95" x14ac:dyDescent="0.3">
      <c r="A117" s="2" t="s">
        <v>56</v>
      </c>
      <c r="D117" s="263"/>
      <c r="F117" s="206" t="s">
        <v>119</v>
      </c>
      <c r="I117" s="263">
        <v>0.15</v>
      </c>
    </row>
    <row r="118" spans="1:9" ht="15.95" x14ac:dyDescent="0.3">
      <c r="A118" s="2" t="s">
        <v>57</v>
      </c>
      <c r="D118" s="263"/>
      <c r="F118" s="206" t="s">
        <v>118</v>
      </c>
      <c r="I118" s="263">
        <v>0.1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/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10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/>
      <c r="D133" s="261"/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10000</v>
      </c>
      <c r="C134" s="260">
        <v>25000</v>
      </c>
      <c r="D134" s="261">
        <v>30000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132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21286.799999999996</v>
      </c>
      <c r="C141" s="71">
        <f>+'Plan financier à imprimer'!AH12*21.9%</f>
        <v>24479.819999999996</v>
      </c>
      <c r="D141" s="71">
        <f>+'Plan financier à imprimer'!AI12*21.9%</f>
        <v>26927.801999999996</v>
      </c>
      <c r="E141" s="93" t="s">
        <v>133</v>
      </c>
      <c r="F141" t="s">
        <v>1</v>
      </c>
      <c r="G141" s="245">
        <f>+'Plan financier à imprimer'!AG12*11%</f>
        <v>10692</v>
      </c>
      <c r="H141" s="247">
        <f>+'Plan financier à imprimer'!AH12*21.9%</f>
        <v>24479.819999999996</v>
      </c>
      <c r="I141" s="71">
        <f>+'Plan financier à imprimer'!AI12*21.9%</f>
        <v>26927.801999999996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10612.805506820012</v>
      </c>
      <c r="C142" s="71">
        <f>IF('Plan financier à imprimer'!AH52*30%&lt;3456,3456,'Plan financier à imprimer'!AH52*30%)</f>
        <v>14170.805506820012</v>
      </c>
      <c r="D142" s="71">
        <f>IF('Plan financier à imprimer'!AI52*30%&lt;3456,3456,'Plan financier à imprimer'!AI52*30%)</f>
        <v>16483.20550682001</v>
      </c>
      <c r="F142" t="s">
        <v>110</v>
      </c>
      <c r="G142" s="245">
        <v>1305</v>
      </c>
      <c r="H142" s="248">
        <f>IF('Plan financier à imprimer'!AH52*32%&lt;3456,3456,'Plan financier à imprimer'!AH52*32%)</f>
        <v>15115.525873941346</v>
      </c>
      <c r="I142" s="72">
        <f>IF('Plan financier à imprimer'!AI52*32%&lt;3456,3456,'Plan financier à imprimer'!AI52*32%)</f>
        <v>17582.085873941345</v>
      </c>
    </row>
    <row r="143" spans="1:9" ht="15.75" hidden="1" customHeight="1" x14ac:dyDescent="0.25">
      <c r="A143" t="s">
        <v>109</v>
      </c>
      <c r="B143" s="71">
        <f>IF(B134*45%&lt;3456,3456,B134*45%)</f>
        <v>4500</v>
      </c>
      <c r="C143" s="71">
        <f>IF(C134*45%&lt;3456,3456,C134*45%)</f>
        <v>11250</v>
      </c>
      <c r="D143" s="71">
        <f>IF(D134*45%&lt;3456,3456,D134*45%)</f>
        <v>13500</v>
      </c>
      <c r="F143" t="s">
        <v>109</v>
      </c>
      <c r="G143" s="245">
        <v>1305</v>
      </c>
      <c r="H143" s="248">
        <f>IF(C134*45%&lt;3456,3456,C134*45%)</f>
        <v>11250</v>
      </c>
      <c r="I143" s="72">
        <f>IF(D134*45%&lt;3456,3456,D134*45%)</f>
        <v>13500</v>
      </c>
    </row>
    <row r="144" spans="1:9" ht="15.1" hidden="1" x14ac:dyDescent="0.25">
      <c r="A144" t="s">
        <v>111</v>
      </c>
      <c r="B144" s="71">
        <f>IF(B134*45%&lt;3456,3456,B134*45%)</f>
        <v>4500</v>
      </c>
      <c r="C144" s="71">
        <f>IF(C134*45%&lt;3456,3456,C134*45%)</f>
        <v>11250</v>
      </c>
      <c r="D144" s="71">
        <f>IF(D134*45%&lt;3456,3456,D134*45%)</f>
        <v>13500</v>
      </c>
      <c r="F144" t="s">
        <v>111</v>
      </c>
      <c r="G144" s="245">
        <v>1305</v>
      </c>
      <c r="H144" s="248">
        <f>IF(C134*45%&lt;3456,3456,C134*45%)</f>
        <v>11250</v>
      </c>
      <c r="I144" s="72">
        <f>IF(D134*45%&lt;3456,3456,D134*45%)</f>
        <v>13500</v>
      </c>
    </row>
    <row r="145" spans="1:9" ht="15.1" hidden="1" x14ac:dyDescent="0.25">
      <c r="A145" t="s">
        <v>112</v>
      </c>
      <c r="B145" s="71">
        <f>B134*70%</f>
        <v>7000</v>
      </c>
      <c r="C145" s="71">
        <f t="shared" ref="C145:D145" si="20">C134*70%</f>
        <v>17500</v>
      </c>
      <c r="D145" s="71">
        <f t="shared" si="20"/>
        <v>21000</v>
      </c>
      <c r="F145" t="s">
        <v>112</v>
      </c>
      <c r="G145" s="245">
        <f>B134*33%</f>
        <v>3300</v>
      </c>
      <c r="H145" s="245">
        <f>C134*70%</f>
        <v>17500</v>
      </c>
      <c r="I145" s="245">
        <f>D134*70%</f>
        <v>21000</v>
      </c>
    </row>
    <row r="146" spans="1:9" ht="15.1" hidden="1" x14ac:dyDescent="0.25">
      <c r="A146" t="s">
        <v>113</v>
      </c>
      <c r="B146" s="71">
        <f>B134*70%</f>
        <v>7000</v>
      </c>
      <c r="C146" s="71">
        <f t="shared" ref="C146:D146" si="21">C134*70%</f>
        <v>17500</v>
      </c>
      <c r="D146" s="71">
        <f t="shared" si="21"/>
        <v>21000</v>
      </c>
      <c r="F146" t="s">
        <v>113</v>
      </c>
      <c r="G146" s="245">
        <f>B134*33%</f>
        <v>3300</v>
      </c>
      <c r="H146" s="245">
        <f>C134*70%</f>
        <v>17500</v>
      </c>
      <c r="I146" s="245">
        <f>D134*70%</f>
        <v>21000</v>
      </c>
    </row>
    <row r="147" spans="1:9" ht="15.1" hidden="1" x14ac:dyDescent="0.25">
      <c r="A147" s="1" t="s">
        <v>108</v>
      </c>
      <c r="B147" s="73">
        <f>SUMIF($A$140:$A$146,$B$8,B140:B146)</f>
        <v>7000</v>
      </c>
      <c r="C147" s="73">
        <f>SUMIF($A$140:$A$146,$B$8,C140:C146)</f>
        <v>17500</v>
      </c>
      <c r="D147" s="73">
        <f>SUMIF($A$140:$A$146,$B$8,D140:D146)</f>
        <v>21000</v>
      </c>
      <c r="F147" s="1" t="s">
        <v>108</v>
      </c>
      <c r="G147" s="245">
        <f>SUMIF($A$140:$A$146,$B$8,G140:G146)</f>
        <v>3300</v>
      </c>
      <c r="H147" s="246">
        <f>SUMIF($A$140:$A$146,$B$8,H140:H146)</f>
        <v>17500</v>
      </c>
      <c r="I147" s="246">
        <f>SUMIF($A$140:$A$146,$B$8,I140:I146)</f>
        <v>21000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Laverie automatique</v>
      </c>
      <c r="T6" s="1" t="s">
        <v>68</v>
      </c>
      <c r="V6" s="3" t="str">
        <f>IF(ISBLANK('Données à saisir'!$B7),"",('Données à saisir'!$B7))</f>
        <v>Laverie automatique</v>
      </c>
      <c r="AC6" s="1" t="s">
        <v>68</v>
      </c>
      <c r="AE6" s="3" t="str">
        <f>IF(ISBLANK('Données à saisir'!$B7),"",('Données à saisir'!$B7))</f>
        <v>Laverie automatique</v>
      </c>
      <c r="AL6" s="1" t="s">
        <v>68</v>
      </c>
      <c r="AN6" s="3" t="str">
        <f>IF(ISBLANK('Données à saisir'!$B7),"",('Données à saisir'!$B7))</f>
        <v>Laverie automatique</v>
      </c>
      <c r="AW6" s="1" t="s">
        <v>68</v>
      </c>
      <c r="AY6" s="3" t="str">
        <f>IF(ISBLANK('Données à saisir'!$B7),"",('Données à saisir'!$B7))</f>
        <v>Laverie automatique</v>
      </c>
      <c r="BF6" s="1" t="s">
        <v>68</v>
      </c>
      <c r="BH6" s="3" t="str">
        <f>IF(ISBLANK('Données à saisir'!$B7),"",('Données à saisir'!$B7))</f>
        <v>Laverie automatique</v>
      </c>
      <c r="BO6" s="1" t="s">
        <v>68</v>
      </c>
      <c r="BQ6" s="3" t="str">
        <f>IF(ISBLANK('Données à saisir'!$B7),"",('Données à saisir'!$B7))</f>
        <v>Laverie automatique</v>
      </c>
      <c r="BV6" s="193" t="s">
        <v>216</v>
      </c>
      <c r="BY6" s="1" t="s">
        <v>68</v>
      </c>
      <c r="CA6" s="3" t="str">
        <f>IF(ISBLANK('Données à saisir'!$B7),"",('Données à saisir'!$B7))</f>
        <v>Laverie automatique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97200</v>
      </c>
      <c r="AH10" s="60">
        <f t="shared" ref="AH10:AI10" si="0">SUM(AH11:AH12)</f>
        <v>111780</v>
      </c>
      <c r="AI10" s="226">
        <f t="shared" si="0"/>
        <v>122958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97200</v>
      </c>
      <c r="BB11" s="60">
        <f>AH10</f>
        <v>111780</v>
      </c>
      <c r="BC11" s="226">
        <f>AI10</f>
        <v>122958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5100</v>
      </c>
      <c r="AC12" s="44" t="s">
        <v>124</v>
      </c>
      <c r="AG12" s="62">
        <f>'Données à saisir'!I115</f>
        <v>97200</v>
      </c>
      <c r="AH12" s="62">
        <f>AG12+AG12*'Données à saisir'!I117</f>
        <v>111780</v>
      </c>
      <c r="AI12" s="54">
        <f>AH12+AH12*'Données à saisir'!I118</f>
        <v>122958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153</v>
      </c>
      <c r="AM13" s="34"/>
      <c r="AN13" s="34"/>
      <c r="AO13" s="119">
        <f>AG10</f>
        <v>97200</v>
      </c>
      <c r="AP13" s="139">
        <v>1</v>
      </c>
      <c r="AQ13" s="119">
        <f>AH10</f>
        <v>111780</v>
      </c>
      <c r="AR13" s="140">
        <v>1</v>
      </c>
      <c r="AS13" s="119">
        <f>AI10</f>
        <v>122958</v>
      </c>
      <c r="AT13" s="141">
        <v>1</v>
      </c>
      <c r="AW13" s="123" t="s">
        <v>177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>
        <f>IF(ISBLANK('Données à saisir'!B18),"",'Données à saisir'!B18)</f>
        <v>1000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154</v>
      </c>
      <c r="AO14" s="104">
        <f>AG10</f>
        <v>97200</v>
      </c>
      <c r="AP14" s="142">
        <v>1</v>
      </c>
      <c r="AQ14" s="104">
        <f>AH10</f>
        <v>111780</v>
      </c>
      <c r="AR14" s="143">
        <v>1</v>
      </c>
      <c r="AS14" s="104">
        <f>AI10</f>
        <v>122958</v>
      </c>
      <c r="AT14" s="144">
        <v>1</v>
      </c>
      <c r="AW14" s="123" t="s">
        <v>178</v>
      </c>
      <c r="BA14" s="57">
        <f>BA11-BA13</f>
        <v>97200</v>
      </c>
      <c r="BB14" s="57">
        <f t="shared" ref="BB14:BC14" si="2">BB11-BB13</f>
        <v>111780</v>
      </c>
      <c r="BC14" s="53">
        <f t="shared" si="2"/>
        <v>122958</v>
      </c>
      <c r="BF14" s="186" t="s">
        <v>201</v>
      </c>
      <c r="BG14" s="52"/>
      <c r="BH14" s="52"/>
      <c r="BI14" s="52"/>
      <c r="BJ14" s="187">
        <f>Q12+Q23</f>
        <v>109100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10000</v>
      </c>
      <c r="Y15" s="60">
        <f>'Données à saisir'!C134</f>
        <v>25000</v>
      </c>
      <c r="Z15" s="61">
        <f>'Données à saisir'!D134</f>
        <v>30000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195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266</v>
      </c>
      <c r="BJ15" s="104">
        <f>Q30</f>
        <v>1500</v>
      </c>
      <c r="BK15" s="104"/>
      <c r="BL15" s="120"/>
      <c r="BO15" s="192" t="s">
        <v>202</v>
      </c>
      <c r="BP15" s="52"/>
      <c r="BQ15" s="52"/>
      <c r="BR15" s="187">
        <f>BJ19</f>
        <v>55000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55000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1.5</v>
      </c>
      <c r="Z16" s="103">
        <f>IF(ISERROR((Z15-Y15)/Y15),"",(Z15-Y15)/Y15)</f>
        <v>0.2</v>
      </c>
      <c r="AC16" s="63" t="s">
        <v>127</v>
      </c>
      <c r="AD16" s="64"/>
      <c r="AE16" s="64"/>
      <c r="AF16" s="64"/>
      <c r="AG16" s="65">
        <f>AG10-AG13</f>
        <v>97200</v>
      </c>
      <c r="AH16" s="65">
        <f>AH10-AH13</f>
        <v>111780</v>
      </c>
      <c r="AI16" s="66">
        <f>AI10-AI13</f>
        <v>122958</v>
      </c>
      <c r="AL16" s="63" t="s">
        <v>156</v>
      </c>
      <c r="AM16" s="64"/>
      <c r="AN16" s="64"/>
      <c r="AO16" s="65">
        <f>AO14-AO15</f>
        <v>97200</v>
      </c>
      <c r="AP16" s="147">
        <f t="shared" ref="AP16:AP28" si="5">AO16/$AO$14</f>
        <v>1</v>
      </c>
      <c r="AQ16" s="65">
        <f t="shared" ref="AQ16:AS16" si="6">AQ14-AQ15</f>
        <v>111780</v>
      </c>
      <c r="AR16" s="148">
        <f t="shared" ref="AR16:AR28" si="7">AQ16/$AQ$14</f>
        <v>1</v>
      </c>
      <c r="AS16" s="65">
        <f t="shared" si="6"/>
        <v>122958</v>
      </c>
      <c r="AT16" s="150">
        <f t="shared" ref="AT16:AT28" si="8">AS16/$AS$14</f>
        <v>1</v>
      </c>
      <c r="AW16" s="123" t="s">
        <v>179</v>
      </c>
      <c r="BA16" s="104">
        <f>SUM(AO17,AO19,AO20,AO22,AO24)</f>
        <v>75123.981643933294</v>
      </c>
      <c r="BB16" s="104">
        <f>SUM(AQ17,AQ19,AQ20,AQ22,AQ24)</f>
        <v>107043.98164393329</v>
      </c>
      <c r="BC16" s="159">
        <f>SUM(AS17,AS19,AS20,AS22,AS24)</f>
        <v>119013.98164393329</v>
      </c>
      <c r="BF16" s="123" t="s">
        <v>199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203</v>
      </c>
      <c r="BR16" s="104">
        <f>BJ20</f>
        <v>61600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61600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3300</v>
      </c>
      <c r="Y17" s="57">
        <f>AH40</f>
        <v>17500</v>
      </c>
      <c r="Z17" s="53">
        <f>AI40</f>
        <v>21000</v>
      </c>
      <c r="AC17" s="37" t="s">
        <v>128</v>
      </c>
      <c r="AG17" s="57">
        <f>SUM(AG18:AG33)</f>
        <v>37900</v>
      </c>
      <c r="AH17" s="57">
        <f>SUM(AH18:AH33)</f>
        <v>39520</v>
      </c>
      <c r="AI17" s="68">
        <f>SUM(AI18:AI33)</f>
        <v>42790</v>
      </c>
      <c r="AL17" s="70" t="s">
        <v>81</v>
      </c>
      <c r="AO17" s="104">
        <f>AG17</f>
        <v>37900</v>
      </c>
      <c r="AP17" s="145">
        <f t="shared" si="5"/>
        <v>0.389917695473251</v>
      </c>
      <c r="AQ17" s="104">
        <f>AH17</f>
        <v>39520</v>
      </c>
      <c r="AR17" s="149">
        <f t="shared" si="7"/>
        <v>0.35355161925210232</v>
      </c>
      <c r="AS17" s="104">
        <f>AI17</f>
        <v>42790</v>
      </c>
      <c r="AT17" s="146">
        <f t="shared" si="8"/>
        <v>0.34800500984075861</v>
      </c>
      <c r="AW17" s="63" t="s">
        <v>196</v>
      </c>
      <c r="AX17" s="64"/>
      <c r="AY17" s="64"/>
      <c r="AZ17" s="64"/>
      <c r="BA17" s="65">
        <f>BA12+BA16</f>
        <v>75123.981643933294</v>
      </c>
      <c r="BB17" s="65">
        <f t="shared" ref="BB17:BC17" si="9">BB12+BB16</f>
        <v>107043.98164393329</v>
      </c>
      <c r="BC17" s="66">
        <f t="shared" si="9"/>
        <v>119013.98164393329</v>
      </c>
      <c r="BF17" s="123" t="s">
        <v>200</v>
      </c>
      <c r="BJ17" s="104">
        <f>AO45</f>
        <v>8800</v>
      </c>
      <c r="BK17" s="104">
        <f>AQ45</f>
        <v>8800</v>
      </c>
      <c r="BL17" s="120">
        <f>AS45</f>
        <v>8800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129</v>
      </c>
      <c r="AM18" s="64"/>
      <c r="AN18" s="64"/>
      <c r="AO18" s="65">
        <f>AO16-AO17</f>
        <v>59300</v>
      </c>
      <c r="AP18" s="147">
        <f t="shared" si="5"/>
        <v>0.61008230452674894</v>
      </c>
      <c r="AQ18" s="65">
        <f t="shared" ref="AQ18:AS18" si="10">AQ16-AQ17</f>
        <v>72260</v>
      </c>
      <c r="AR18" s="148">
        <f t="shared" si="7"/>
        <v>0.64644838074789768</v>
      </c>
      <c r="AS18" s="65">
        <f t="shared" si="10"/>
        <v>80168</v>
      </c>
      <c r="AT18" s="150">
        <f t="shared" si="8"/>
        <v>0.65199499015924134</v>
      </c>
      <c r="AW18" s="123" t="s">
        <v>180</v>
      </c>
      <c r="BA18" s="104">
        <f>AG44</f>
        <v>22076.018356066706</v>
      </c>
      <c r="BB18" s="104">
        <f>AH44</f>
        <v>4736.0183560667065</v>
      </c>
      <c r="BC18" s="159">
        <f>AI44</f>
        <v>3944.0183560667065</v>
      </c>
      <c r="BF18" s="63" t="s">
        <v>198</v>
      </c>
      <c r="BG18" s="64"/>
      <c r="BH18" s="64"/>
      <c r="BI18" s="64"/>
      <c r="BJ18" s="188">
        <f>SUM(BJ14:BJ17)</f>
        <v>119400</v>
      </c>
      <c r="BK18" s="189">
        <f>SUM(BK14:BK17)</f>
        <v>8800</v>
      </c>
      <c r="BL18" s="190">
        <f>SUM(BL14:BL17)</f>
        <v>8800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750</v>
      </c>
      <c r="AI19" s="54">
        <f>IF(ISBLANK('Données à saisir'!D78),0,'Données à saisir'!D78)</f>
        <v>800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8.9461442118446942E-3</v>
      </c>
      <c r="AS19" s="104">
        <f>AI36</f>
        <v>1100</v>
      </c>
      <c r="AT19" s="146">
        <f t="shared" si="8"/>
        <v>8.9461442118446942E-3</v>
      </c>
      <c r="AW19" s="63" t="s">
        <v>197</v>
      </c>
      <c r="AX19" s="64"/>
      <c r="AY19" s="64"/>
      <c r="AZ19" s="64"/>
      <c r="BA19" s="65">
        <f>IF(ISERROR(BA16/BA15),0,BA16/BA15)</f>
        <v>75123.981643933294</v>
      </c>
      <c r="BB19" s="65">
        <f t="shared" ref="BB19:BC19" si="11">IF(ISERROR(BB16/BB15),0,BB16/BB15)</f>
        <v>107043.98164393329</v>
      </c>
      <c r="BC19" s="66">
        <f t="shared" si="11"/>
        <v>119013.98164393329</v>
      </c>
      <c r="BF19" s="123" t="s">
        <v>202</v>
      </c>
      <c r="BJ19" s="104">
        <f>Q37</f>
        <v>55000</v>
      </c>
      <c r="BK19" s="104"/>
      <c r="BL19" s="159"/>
      <c r="BO19" s="192" t="s">
        <v>213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142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155</v>
      </c>
      <c r="AM20" s="1"/>
      <c r="AN20" s="1"/>
      <c r="AO20" s="104">
        <f>SUM(AG37:AG40)</f>
        <v>13300</v>
      </c>
      <c r="AP20" s="145">
        <f t="shared" si="5"/>
        <v>0.1368312757201646</v>
      </c>
      <c r="AQ20" s="104">
        <f>SUM(AH37:AH40)</f>
        <v>42500</v>
      </c>
      <c r="AR20" s="149">
        <f t="shared" si="7"/>
        <v>0.38021112900339954</v>
      </c>
      <c r="AS20" s="104">
        <f>SUM(AI37:AI40)</f>
        <v>51000</v>
      </c>
      <c r="AT20" s="146">
        <f t="shared" si="8"/>
        <v>0.41477577709461766</v>
      </c>
      <c r="AW20" s="123" t="s">
        <v>181</v>
      </c>
      <c r="BA20" s="104">
        <f>BA11-BA19</f>
        <v>22076.018356066706</v>
      </c>
      <c r="BB20" s="104">
        <f t="shared" ref="BB20:BC20" si="12">BB11-BB19</f>
        <v>4736.0183560667065</v>
      </c>
      <c r="BC20" s="120">
        <f t="shared" si="12"/>
        <v>3944.0183560667065</v>
      </c>
      <c r="BF20" s="123" t="s">
        <v>203</v>
      </c>
      <c r="BJ20" s="104">
        <f>Q40</f>
        <v>61600</v>
      </c>
      <c r="BK20" s="104"/>
      <c r="BL20" s="159"/>
      <c r="BO20" s="123" t="s">
        <v>214</v>
      </c>
      <c r="BR20" s="104">
        <f>'Données à saisir'!I103</f>
        <v>4500</v>
      </c>
      <c r="BS20" s="104">
        <f>'Données à saisir'!I104</f>
        <v>6000</v>
      </c>
      <c r="BT20" s="104">
        <f>'Données à saisir'!I105</f>
        <v>7500</v>
      </c>
      <c r="BU20" s="104">
        <f>'Données à saisir'!I106</f>
        <v>8100</v>
      </c>
      <c r="BV20" s="159">
        <f>'Données à saisir'!I107</f>
        <v>8400</v>
      </c>
      <c r="BY20" s="196">
        <f>'Données à saisir'!I108</f>
        <v>8700</v>
      </c>
      <c r="BZ20" s="104">
        <f>'Données à saisir'!I109</f>
        <v>9000</v>
      </c>
      <c r="CA20" s="104">
        <f>'Données à saisir'!I110</f>
        <v>9000</v>
      </c>
      <c r="CB20" s="104">
        <f>'Données à saisir'!I111</f>
        <v>9000</v>
      </c>
      <c r="CC20" s="104">
        <f>'Données à saisir'!I112</f>
        <v>9000</v>
      </c>
      <c r="CD20" s="104">
        <f>'Données à saisir'!I113</f>
        <v>9000</v>
      </c>
      <c r="CE20" s="132">
        <f>'Données à saisir'!I114</f>
        <v>9000</v>
      </c>
      <c r="CF20" s="201">
        <f t="shared" ref="CF20:CF24" si="13">SUM(BR20:CE20)</f>
        <v>97200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800</v>
      </c>
      <c r="T21" s="37" t="s">
        <v>144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500</v>
      </c>
      <c r="AH21" s="62">
        <f>IF(ISBLANK('Données à saisir'!C80),0,'Données à saisir'!C80)</f>
        <v>500</v>
      </c>
      <c r="AI21" s="54">
        <f>IF(ISBLANK('Données à saisir'!D80),0,'Données à saisir'!D80)</f>
        <v>500</v>
      </c>
      <c r="AL21" s="63" t="s">
        <v>130</v>
      </c>
      <c r="AM21" s="64"/>
      <c r="AN21" s="64"/>
      <c r="AO21" s="65">
        <f>AO18-AO19-AO20</f>
        <v>46000</v>
      </c>
      <c r="AP21" s="147">
        <f t="shared" si="5"/>
        <v>0.47325102880658437</v>
      </c>
      <c r="AQ21" s="65">
        <f t="shared" ref="AQ21:AS21" si="14">AQ18-AQ19-AQ20</f>
        <v>28760</v>
      </c>
      <c r="AR21" s="148">
        <f t="shared" si="7"/>
        <v>0.25729110753265344</v>
      </c>
      <c r="AS21" s="65">
        <f t="shared" si="14"/>
        <v>28068</v>
      </c>
      <c r="AT21" s="150">
        <f t="shared" si="8"/>
        <v>0.22827306885277901</v>
      </c>
      <c r="AW21" s="208" t="s">
        <v>182</v>
      </c>
      <c r="AX21" s="36"/>
      <c r="AY21" s="36"/>
      <c r="AZ21" s="36"/>
      <c r="BA21" s="156">
        <f>BA19/250</f>
        <v>300.49592657573317</v>
      </c>
      <c r="BB21" s="156">
        <f t="shared" ref="BB21:BC21" si="15">BB19/250</f>
        <v>428.17592657573317</v>
      </c>
      <c r="BC21" s="157">
        <f t="shared" si="15"/>
        <v>476.05592657573317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4500</v>
      </c>
      <c r="BS21" s="65">
        <f t="shared" ref="BS21:BV21" si="16">SUM(BS19:BS20)</f>
        <v>6000</v>
      </c>
      <c r="BT21" s="65">
        <f t="shared" si="16"/>
        <v>7500</v>
      </c>
      <c r="BU21" s="65">
        <f t="shared" si="16"/>
        <v>8100</v>
      </c>
      <c r="BV21" s="66">
        <f t="shared" si="16"/>
        <v>8400</v>
      </c>
      <c r="BY21" s="197">
        <f t="shared" ref="BY21:CE21" si="17">SUM(BY19:BY20)</f>
        <v>8700</v>
      </c>
      <c r="BZ21" s="65">
        <f t="shared" si="17"/>
        <v>9000</v>
      </c>
      <c r="CA21" s="65">
        <f t="shared" si="17"/>
        <v>9000</v>
      </c>
      <c r="CB21" s="65">
        <f t="shared" si="17"/>
        <v>9000</v>
      </c>
      <c r="CC21" s="65">
        <f t="shared" si="17"/>
        <v>9000</v>
      </c>
      <c r="CD21" s="65">
        <f t="shared" si="17"/>
        <v>9000</v>
      </c>
      <c r="CE21" s="131">
        <f t="shared" si="17"/>
        <v>9000</v>
      </c>
      <c r="CF21" s="200">
        <f t="shared" si="13"/>
        <v>97200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1000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21620</v>
      </c>
      <c r="AP22" s="145">
        <f t="shared" si="5"/>
        <v>0.22242798353909465</v>
      </c>
      <c r="AQ22" s="104">
        <f>AH43</f>
        <v>21620</v>
      </c>
      <c r="AR22" s="149">
        <f t="shared" si="7"/>
        <v>0.19341563786008231</v>
      </c>
      <c r="AS22" s="104">
        <f>AI43</f>
        <v>21620</v>
      </c>
      <c r="AT22" s="146">
        <f t="shared" si="8"/>
        <v>0.17583239805462028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5100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5100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104000</v>
      </c>
      <c r="AC23" s="44" t="str">
        <f>'Données à saisir'!A82</f>
        <v>Eau, électricité, gaz</v>
      </c>
      <c r="AG23" s="62">
        <f>IF(ISBLANK('Données à saisir'!B82),0,'Données à saisir'!B82)</f>
        <v>5500</v>
      </c>
      <c r="AH23" s="62">
        <f>IF(ISBLANK('Données à saisir'!C82),0,'Données à saisir'!C82)</f>
        <v>6500</v>
      </c>
      <c r="AI23" s="54">
        <f>IF(ISBLANK('Données à saisir'!D82),0,'Données à saisir'!D82)</f>
        <v>8000</v>
      </c>
      <c r="AL23" s="63" t="s">
        <v>158</v>
      </c>
      <c r="AM23" s="64"/>
      <c r="AN23" s="64"/>
      <c r="AO23" s="65">
        <f>AO21-AO22</f>
        <v>24380</v>
      </c>
      <c r="AP23" s="147">
        <f t="shared" si="5"/>
        <v>0.25082304526748972</v>
      </c>
      <c r="AQ23" s="65">
        <f t="shared" ref="AQ23:AS23" si="18">AQ21-AQ22</f>
        <v>7140</v>
      </c>
      <c r="AR23" s="148">
        <f t="shared" si="7"/>
        <v>6.3875469672571128E-2</v>
      </c>
      <c r="AS23" s="65">
        <f t="shared" si="18"/>
        <v>6448</v>
      </c>
      <c r="AT23" s="150">
        <f t="shared" si="8"/>
        <v>5.2440670798158721E-2</v>
      </c>
      <c r="AW23" s="4"/>
      <c r="BA23" s="99"/>
      <c r="BB23" s="99"/>
      <c r="BC23" s="99"/>
      <c r="BF23" s="123" t="s">
        <v>206</v>
      </c>
      <c r="BJ23" s="104">
        <f>AO44</f>
        <v>40384.615602656704</v>
      </c>
      <c r="BK23" s="104">
        <f>AQ44</f>
        <v>25645.615602656697</v>
      </c>
      <c r="BL23" s="159">
        <f>AS44</f>
        <v>24972.4156026567</v>
      </c>
      <c r="BO23" s="123" t="s">
        <v>70</v>
      </c>
      <c r="BR23" s="104">
        <f>Q23</f>
        <v>104000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104000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2303.9816439332949</v>
      </c>
      <c r="AP24" s="145">
        <f t="shared" si="5"/>
        <v>2.370351485528081E-2</v>
      </c>
      <c r="AQ24" s="104">
        <f>AH42</f>
        <v>2403.9816439332949</v>
      </c>
      <c r="AR24" s="149">
        <f t="shared" si="7"/>
        <v>2.1506366469254742E-2</v>
      </c>
      <c r="AS24" s="104">
        <f>AI42</f>
        <v>2503.9816439332949</v>
      </c>
      <c r="AT24" s="146">
        <f t="shared" si="8"/>
        <v>2.0364528082217465E-2</v>
      </c>
      <c r="BF24" s="63" t="s">
        <v>207</v>
      </c>
      <c r="BG24" s="64"/>
      <c r="BH24" s="64"/>
      <c r="BI24" s="64"/>
      <c r="BJ24" s="65">
        <f>SUM(BJ19:BJ23)</f>
        <v>156984.6156026567</v>
      </c>
      <c r="BK24" s="65">
        <f>SUM(BK19:BK23)</f>
        <v>25645.615602656697</v>
      </c>
      <c r="BL24" s="66">
        <f>SUM(BL19:BL23)</f>
        <v>24972.4156026567</v>
      </c>
      <c r="BO24" s="63" t="s">
        <v>227</v>
      </c>
      <c r="BP24" s="64"/>
      <c r="BQ24" s="64"/>
      <c r="BR24" s="65">
        <f>SUM(BR22:BR23)</f>
        <v>109100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109100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800</v>
      </c>
      <c r="AI25" s="54">
        <f>IF(ISBLANK('Données à saisir'!D84),0,'Données à saisir'!D84)</f>
        <v>800</v>
      </c>
      <c r="AL25" s="38" t="s">
        <v>159</v>
      </c>
      <c r="AM25" s="1"/>
      <c r="AN25" s="1"/>
      <c r="AO25" s="104">
        <f>AO24*-1</f>
        <v>-2303.9816439332949</v>
      </c>
      <c r="AP25" s="145">
        <f t="shared" si="5"/>
        <v>-2.370351485528081E-2</v>
      </c>
      <c r="AQ25" s="104">
        <f t="shared" ref="AQ25:AS25" si="19">AQ24*-1</f>
        <v>-2403.9816439332949</v>
      </c>
      <c r="AR25" s="149">
        <f t="shared" si="7"/>
        <v>-2.1506366469254742E-2</v>
      </c>
      <c r="AS25" s="104">
        <f t="shared" si="19"/>
        <v>-2503.9816439332949</v>
      </c>
      <c r="AT25" s="146">
        <f t="shared" si="8"/>
        <v>-2.0364528082217465E-2</v>
      </c>
      <c r="BA25" s="90"/>
      <c r="BF25" s="123" t="s">
        <v>208</v>
      </c>
      <c r="BJ25" s="104">
        <f>BJ24-BJ18</f>
        <v>37584.615602656704</v>
      </c>
      <c r="BK25" s="104">
        <f>BK24-BK18</f>
        <v>16845.615602656697</v>
      </c>
      <c r="BL25" s="120">
        <f>BL24-BL18</f>
        <v>16172.4156026567</v>
      </c>
      <c r="BO25" s="123" t="s">
        <v>261</v>
      </c>
      <c r="BR25" s="104">
        <f>Q30</f>
        <v>1500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15000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2500</v>
      </c>
      <c r="AH26" s="62">
        <f>IF(ISBLANK('Données à saisir'!C85),0,'Données à saisir'!C85)</f>
        <v>2700</v>
      </c>
      <c r="AI26" s="54">
        <f>IF(ISBLANK('Données à saisir'!D85),0,'Données à saisir'!D85)</f>
        <v>2900</v>
      </c>
      <c r="AL26" s="63" t="s">
        <v>161</v>
      </c>
      <c r="AM26" s="64"/>
      <c r="AN26" s="64"/>
      <c r="AO26" s="65">
        <f>AO23+AO25</f>
        <v>22076.018356066706</v>
      </c>
      <c r="AP26" s="147">
        <f t="shared" si="5"/>
        <v>0.22711953041220892</v>
      </c>
      <c r="AQ26" s="65">
        <f t="shared" ref="AQ26:AS26" si="21">AQ23+AQ25</f>
        <v>4736.0183560667047</v>
      </c>
      <c r="AR26" s="148">
        <f t="shared" si="7"/>
        <v>4.2369103203316376E-2</v>
      </c>
      <c r="AS26" s="65">
        <f t="shared" si="21"/>
        <v>3944.0183560667051</v>
      </c>
      <c r="AT26" s="150">
        <f t="shared" si="8"/>
        <v>3.207614271594126E-2</v>
      </c>
      <c r="BF26" s="63" t="s">
        <v>262</v>
      </c>
      <c r="BG26" s="64"/>
      <c r="BH26" s="64"/>
      <c r="BI26" s="64"/>
      <c r="BJ26" s="65">
        <f>BJ25</f>
        <v>37584.615602656704</v>
      </c>
      <c r="BK26" s="65">
        <f>BJ26+BK25</f>
        <v>54430.231205313401</v>
      </c>
      <c r="BL26" s="66">
        <f>+BK26+BL25</f>
        <v>70602.646807970101</v>
      </c>
      <c r="BO26" s="123" t="s">
        <v>228</v>
      </c>
      <c r="BR26" s="104">
        <f>IF(ISERROR('Données à saisir'!$J$73/12),0,'Données à saisir'!$J$73/12)</f>
        <v>733.33333333333337</v>
      </c>
      <c r="BS26" s="104">
        <f>IF(ISERROR('Données à saisir'!$J$73/12),0,'Données à saisir'!$J$73/12)</f>
        <v>733.33333333333337</v>
      </c>
      <c r="BT26" s="104">
        <f>IF(ISERROR('Données à saisir'!$J$73/12),0,'Données à saisir'!$J$73/12)</f>
        <v>733.33333333333337</v>
      </c>
      <c r="BU26" s="104">
        <f>IF(ISERROR('Données à saisir'!$J$73/12),0,'Données à saisir'!$J$73/12)</f>
        <v>733.33333333333337</v>
      </c>
      <c r="BV26" s="120">
        <f>IF(ISERROR('Données à saisir'!$J$73/12),0,'Données à saisir'!$J$73/12)</f>
        <v>733.33333333333337</v>
      </c>
      <c r="BY26" s="196">
        <f>IF(ISERROR('Données à saisir'!$J$73/12),0,'Données à saisir'!$J$73/12)</f>
        <v>733.33333333333337</v>
      </c>
      <c r="BZ26" s="104">
        <f>IF(ISERROR('Données à saisir'!$J$73/12),0,'Données à saisir'!$J$73/12)</f>
        <v>733.33333333333337</v>
      </c>
      <c r="CA26" s="104">
        <f>IF(ISERROR('Données à saisir'!$J$73/12),0,'Données à saisir'!$J$73/12)</f>
        <v>733.33333333333337</v>
      </c>
      <c r="CB26" s="104">
        <f>IF(ISERROR('Données à saisir'!$J$73/12),0,'Données à saisir'!$J$73/12)</f>
        <v>733.33333333333337</v>
      </c>
      <c r="CC26" s="104">
        <f>IF(ISERROR('Données à saisir'!$J$73/12),0,'Données à saisir'!$J$73/12)</f>
        <v>733.33333333333337</v>
      </c>
      <c r="CD26" s="104">
        <f>IF(ISERROR('Données à saisir'!$J$73/12),0,'Données à saisir'!$J$73/12)</f>
        <v>733.33333333333337</v>
      </c>
      <c r="CE26" s="132">
        <f>IF(ISERROR('Données à saisir'!$J$73/12),0,'Données à saisir'!$J$73/12)</f>
        <v>733.33333333333337</v>
      </c>
      <c r="CF26" s="201">
        <f t="shared" si="20"/>
        <v>8799.9999999999982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85000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800</v>
      </c>
      <c r="AH27" s="62">
        <f>IF(ISBLANK('Données à saisir'!C86),0,'Données à saisir'!C86)</f>
        <v>800</v>
      </c>
      <c r="AI27" s="54">
        <f>IF(ISBLANK('Données à saisir'!D86),0,'Données à saisir'!D86)</f>
        <v>850</v>
      </c>
      <c r="AL27" s="63" t="s">
        <v>162</v>
      </c>
      <c r="AM27" s="64"/>
      <c r="AN27" s="64"/>
      <c r="AO27" s="65">
        <f>IF(ISERROR(AO26-AG45),AO26,(AO26-AG45))</f>
        <v>18764.615602656701</v>
      </c>
      <c r="AP27" s="147">
        <f t="shared" si="5"/>
        <v>0.19305160085037756</v>
      </c>
      <c r="AQ27" s="65">
        <f>IF(ISERROR(AQ26-AH45),AQ26,(AQ26-AH45))</f>
        <v>4025.6156026566987</v>
      </c>
      <c r="AR27" s="148">
        <f t="shared" si="7"/>
        <v>3.601373772281892E-2</v>
      </c>
      <c r="AS27" s="65">
        <f>IF(ISERROR(AS26-AI45),AS26,(AS26-AI45))</f>
        <v>3352.4156026566993</v>
      </c>
      <c r="AT27" s="150">
        <f t="shared" si="8"/>
        <v>2.726472130855007E-2</v>
      </c>
      <c r="BO27" s="123" t="s">
        <v>229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Laverie automatique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500</v>
      </c>
      <c r="AC28" s="44" t="str">
        <f>'Données à saisir'!A87</f>
        <v>Budget publicité et communication</v>
      </c>
      <c r="AG28" s="62">
        <f>IF(ISBLANK('Données à saisir'!B87),0,'Données à saisir'!B87)</f>
        <v>3000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160</v>
      </c>
      <c r="AM28" s="1"/>
      <c r="AN28" s="1"/>
      <c r="AO28" s="104">
        <f>AO27+AO22</f>
        <v>40384.615602656704</v>
      </c>
      <c r="AP28" s="145">
        <f t="shared" si="5"/>
        <v>0.41547958438947225</v>
      </c>
      <c r="AQ28" s="104">
        <f t="shared" ref="AQ28:AS28" si="22">AQ27+AQ22</f>
        <v>25645.615602656697</v>
      </c>
      <c r="AR28" s="149">
        <f t="shared" si="7"/>
        <v>0.22942937558290122</v>
      </c>
      <c r="AS28" s="104">
        <f t="shared" si="22"/>
        <v>24972.4156026567</v>
      </c>
      <c r="AT28" s="151">
        <f t="shared" si="8"/>
        <v>0.20309711936317035</v>
      </c>
      <c r="BF28" s="92" t="s">
        <v>258</v>
      </c>
      <c r="BI28" s="314">
        <f>Q31</f>
        <v>6000</v>
      </c>
      <c r="BJ28" s="314"/>
      <c r="BO28" s="123" t="s">
        <v>81</v>
      </c>
      <c r="BR28" s="104">
        <f>$AG$17/12</f>
        <v>3158.3333333333335</v>
      </c>
      <c r="BS28" s="104">
        <f t="shared" ref="BS28:CE28" si="23">$AG$17/12</f>
        <v>3158.3333333333335</v>
      </c>
      <c r="BT28" s="104">
        <f t="shared" si="23"/>
        <v>3158.3333333333335</v>
      </c>
      <c r="BU28" s="104">
        <f t="shared" si="23"/>
        <v>3158.3333333333335</v>
      </c>
      <c r="BV28" s="120">
        <f t="shared" si="23"/>
        <v>3158.3333333333335</v>
      </c>
      <c r="BY28" s="196">
        <f t="shared" si="23"/>
        <v>3158.3333333333335</v>
      </c>
      <c r="BZ28" s="104">
        <f t="shared" si="23"/>
        <v>3158.3333333333335</v>
      </c>
      <c r="CA28" s="104">
        <f t="shared" si="23"/>
        <v>3158.3333333333335</v>
      </c>
      <c r="CB28" s="104">
        <f t="shared" si="23"/>
        <v>3158.3333333333335</v>
      </c>
      <c r="CC28" s="104">
        <f t="shared" si="23"/>
        <v>3158.3333333333335</v>
      </c>
      <c r="CD28" s="104">
        <f t="shared" si="23"/>
        <v>3158.3333333333335</v>
      </c>
      <c r="CE28" s="132">
        <f t="shared" si="23"/>
        <v>3158.3333333333335</v>
      </c>
      <c r="CF28" s="201">
        <f t="shared" si="20"/>
        <v>37900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20000</v>
      </c>
      <c r="AH29" s="62">
        <f>IF(ISBLANK('Données à saisir'!C88),0,'Données à saisir'!C88)</f>
        <v>21000</v>
      </c>
      <c r="AI29" s="54">
        <f>IF(ISBLANK('Données à saisir'!D88),0,'Données à saisir'!D88)</f>
        <v>22000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2500</v>
      </c>
      <c r="AH30" s="62">
        <f>IF(ISBLANK('Données à saisir'!C89),0,'Données à saisir'!C89)</f>
        <v>2800</v>
      </c>
      <c r="AI30" s="54">
        <f>IF(ISBLANK('Données à saisir'!D89),0,'Données à saisir'!D89)</f>
        <v>3000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6000</v>
      </c>
      <c r="T31" s="107" t="s">
        <v>149</v>
      </c>
      <c r="U31" s="34"/>
      <c r="V31" s="34"/>
      <c r="W31" s="34"/>
      <c r="X31" s="110">
        <f>SUM(X33:X39)</f>
        <v>820</v>
      </c>
      <c r="Y31" s="110">
        <f>SUM(Y33:Y39)</f>
        <v>820</v>
      </c>
      <c r="Z31" s="111">
        <f>SUM(Z33:Z39)</f>
        <v>820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116600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833.33333333333337</v>
      </c>
      <c r="BS32" s="104">
        <f t="shared" si="24"/>
        <v>833.33333333333337</v>
      </c>
      <c r="BT32" s="104">
        <f t="shared" si="24"/>
        <v>833.33333333333337</v>
      </c>
      <c r="BU32" s="104">
        <f t="shared" si="24"/>
        <v>833.33333333333337</v>
      </c>
      <c r="BV32" s="120">
        <f t="shared" si="24"/>
        <v>833.33333333333337</v>
      </c>
      <c r="BY32" s="196">
        <f t="shared" si="25"/>
        <v>833.33333333333337</v>
      </c>
      <c r="BZ32" s="104">
        <f t="shared" si="25"/>
        <v>833.33333333333337</v>
      </c>
      <c r="CA32" s="104">
        <f t="shared" si="25"/>
        <v>833.33333333333337</v>
      </c>
      <c r="CB32" s="104">
        <f t="shared" si="25"/>
        <v>833.33333333333337</v>
      </c>
      <c r="CC32" s="104">
        <f t="shared" si="25"/>
        <v>833.33333333333337</v>
      </c>
      <c r="CD32" s="104">
        <f t="shared" si="25"/>
        <v>833.33333333333337</v>
      </c>
      <c r="CE32" s="132">
        <f t="shared" si="25"/>
        <v>833.33333333333337</v>
      </c>
      <c r="CF32" s="201">
        <f t="shared" si="20"/>
        <v>10000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160</v>
      </c>
      <c r="Y33" s="113">
        <f>'Données à saisir'!D40</f>
        <v>160</v>
      </c>
      <c r="Z33" s="236">
        <f>'Données à saisir'!E40</f>
        <v>160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275</v>
      </c>
      <c r="BS33" s="104">
        <f t="shared" si="24"/>
        <v>275</v>
      </c>
      <c r="BT33" s="104">
        <f t="shared" si="24"/>
        <v>275</v>
      </c>
      <c r="BU33" s="104">
        <f t="shared" si="24"/>
        <v>275</v>
      </c>
      <c r="BV33" s="120">
        <f t="shared" si="24"/>
        <v>275</v>
      </c>
      <c r="BY33" s="196">
        <f t="shared" si="25"/>
        <v>275</v>
      </c>
      <c r="BZ33" s="104">
        <f t="shared" si="25"/>
        <v>275</v>
      </c>
      <c r="CA33" s="104">
        <f t="shared" si="25"/>
        <v>275</v>
      </c>
      <c r="CB33" s="104">
        <f t="shared" si="25"/>
        <v>275</v>
      </c>
      <c r="CC33" s="104">
        <f t="shared" si="25"/>
        <v>275</v>
      </c>
      <c r="CD33" s="104">
        <f t="shared" si="25"/>
        <v>275</v>
      </c>
      <c r="CE33" s="132">
        <f t="shared" si="25"/>
        <v>275</v>
      </c>
      <c r="CF33" s="201">
        <f t="shared" si="20"/>
        <v>3300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300</v>
      </c>
      <c r="Y34" s="113">
        <f>'Données à saisir'!D42</f>
        <v>300</v>
      </c>
      <c r="Z34" s="236">
        <f>'Données à saisir'!E42</f>
        <v>300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1108.3333333333335</v>
      </c>
      <c r="BS34" s="65">
        <f t="shared" ref="BS34:CE34" si="27">SUM(BS30:BS33)</f>
        <v>1108.3333333333335</v>
      </c>
      <c r="BT34" s="65">
        <f t="shared" si="27"/>
        <v>1108.3333333333335</v>
      </c>
      <c r="BU34" s="65">
        <f t="shared" si="27"/>
        <v>1108.3333333333335</v>
      </c>
      <c r="BV34" s="66">
        <f t="shared" si="27"/>
        <v>1108.3333333333335</v>
      </c>
      <c r="BY34" s="197">
        <f t="shared" si="27"/>
        <v>1108.3333333333335</v>
      </c>
      <c r="BZ34" s="65">
        <f t="shared" si="27"/>
        <v>1108.3333333333335</v>
      </c>
      <c r="CA34" s="65">
        <f t="shared" si="27"/>
        <v>1108.3333333333335</v>
      </c>
      <c r="CB34" s="65">
        <f t="shared" si="27"/>
        <v>1108.3333333333335</v>
      </c>
      <c r="CC34" s="65">
        <f t="shared" si="27"/>
        <v>1108.3333333333335</v>
      </c>
      <c r="CD34" s="65">
        <f t="shared" si="27"/>
        <v>1108.3333333333335</v>
      </c>
      <c r="CE34" s="131">
        <f t="shared" si="27"/>
        <v>1108.3333333333335</v>
      </c>
      <c r="CF34" s="200">
        <f t="shared" si="20"/>
        <v>13300.000000000005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59300</v>
      </c>
      <c r="AH35" s="65">
        <f>AH16-AH17</f>
        <v>72260</v>
      </c>
      <c r="AI35" s="66">
        <f>AI16-AI17</f>
        <v>80168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191.99847032777458</v>
      </c>
      <c r="BS35" s="104">
        <f>$AG42/12</f>
        <v>191.99847032777458</v>
      </c>
      <c r="BT35" s="104">
        <f>$AG42/12</f>
        <v>191.99847032777458</v>
      </c>
      <c r="BU35" s="104">
        <f>$AG42/12</f>
        <v>191.99847032777458</v>
      </c>
      <c r="BV35" s="120">
        <f>$AG42/12</f>
        <v>191.99847032777458</v>
      </c>
      <c r="BY35" s="196">
        <f t="shared" ref="BY35:CE35" si="28">$AG42/12</f>
        <v>191.99847032777458</v>
      </c>
      <c r="BZ35" s="104">
        <f t="shared" si="28"/>
        <v>191.99847032777458</v>
      </c>
      <c r="CA35" s="104">
        <f t="shared" si="28"/>
        <v>191.99847032777458</v>
      </c>
      <c r="CB35" s="104">
        <f t="shared" si="28"/>
        <v>191.99847032777458</v>
      </c>
      <c r="CC35" s="104">
        <f t="shared" si="28"/>
        <v>191.99847032777458</v>
      </c>
      <c r="CD35" s="104">
        <f t="shared" si="28"/>
        <v>191.99847032777458</v>
      </c>
      <c r="CE35" s="132">
        <f t="shared" si="28"/>
        <v>191.99847032777458</v>
      </c>
      <c r="CF35" s="201">
        <f t="shared" si="20"/>
        <v>2303.9816439332949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160</v>
      </c>
      <c r="Y36" s="113">
        <f>'Données à saisir'!D48</f>
        <v>160</v>
      </c>
      <c r="Z36" s="236">
        <f>'Données à saisir'!E48</f>
        <v>160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115791.99847032776</v>
      </c>
      <c r="BS36" s="65">
        <f>SUM(BS24:BS29,BS34:BS35)</f>
        <v>5191.9984703277742</v>
      </c>
      <c r="BT36" s="65">
        <f>SUM(BT24:BT29,BT34:BT35)</f>
        <v>5191.9984703277742</v>
      </c>
      <c r="BU36" s="65">
        <f>SUM(BU24:BU29,BU34:BU35)</f>
        <v>5191.9984703277742</v>
      </c>
      <c r="BV36" s="66">
        <f>SUM(BV24:BV29,BV34:BV35)</f>
        <v>5191.9984703277742</v>
      </c>
      <c r="BY36" s="197">
        <f t="shared" ref="BY36:CE36" si="29">SUM(BY24:BY29,BY34:BY35)</f>
        <v>5191.9984703277742</v>
      </c>
      <c r="BZ36" s="65">
        <f t="shared" si="29"/>
        <v>5191.9984703277742</v>
      </c>
      <c r="CA36" s="65">
        <f t="shared" si="29"/>
        <v>5191.9984703277742</v>
      </c>
      <c r="CB36" s="65">
        <f t="shared" si="29"/>
        <v>5191.9984703277742</v>
      </c>
      <c r="CC36" s="65">
        <f t="shared" si="29"/>
        <v>5191.9984703277742</v>
      </c>
      <c r="CD36" s="65">
        <f t="shared" si="29"/>
        <v>5191.9984703277742</v>
      </c>
      <c r="CE36" s="131">
        <f t="shared" si="29"/>
        <v>5191.9984703277742</v>
      </c>
      <c r="CF36" s="200">
        <f t="shared" si="20"/>
        <v>172903.9816439334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55000</v>
      </c>
      <c r="T37" s="44" t="str">
        <f>K22</f>
        <v>Frais de notaire ou d’avocat</v>
      </c>
      <c r="X37" s="113">
        <f>'Données à saisir'!C49</f>
        <v>200</v>
      </c>
      <c r="Y37" s="113">
        <f>'Données à saisir'!D49</f>
        <v>200</v>
      </c>
      <c r="Z37" s="236">
        <f>'Données à saisir'!E49</f>
        <v>200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121100</v>
      </c>
      <c r="BS37" s="65">
        <f>SUM(BS15:BS20)</f>
        <v>6000</v>
      </c>
      <c r="BT37" s="65">
        <f>SUM(BT15:BT20)</f>
        <v>7500</v>
      </c>
      <c r="BU37" s="65">
        <f>SUM(BU15:BU20)</f>
        <v>8100</v>
      </c>
      <c r="BV37" s="66">
        <f>SUM(BV15:BV20)</f>
        <v>8400</v>
      </c>
      <c r="BY37" s="197">
        <f t="shared" ref="BY37:CE37" si="30">SUM(BY15:BY20)</f>
        <v>8700</v>
      </c>
      <c r="BZ37" s="65">
        <f t="shared" si="30"/>
        <v>9000</v>
      </c>
      <c r="CA37" s="65">
        <f t="shared" si="30"/>
        <v>9000</v>
      </c>
      <c r="CB37" s="65">
        <f t="shared" si="30"/>
        <v>9000</v>
      </c>
      <c r="CC37" s="65">
        <f t="shared" si="30"/>
        <v>9000</v>
      </c>
      <c r="CD37" s="65">
        <f t="shared" si="30"/>
        <v>9000</v>
      </c>
      <c r="CE37" s="131">
        <f t="shared" si="30"/>
        <v>9000</v>
      </c>
      <c r="CF37" s="200">
        <f t="shared" ref="CF37" si="31">SUM(BR37:CE37)</f>
        <v>213800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55000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188</v>
      </c>
      <c r="AX38" s="108"/>
      <c r="AY38" s="108"/>
      <c r="AZ38" s="170">
        <f>'Données à saisir'!D128</f>
        <v>10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5308.0015296722413</v>
      </c>
      <c r="BT38" s="104">
        <f>BS40</f>
        <v>6116.0030593444671</v>
      </c>
      <c r="BU38" s="104">
        <f>BT40</f>
        <v>8424.004589016693</v>
      </c>
      <c r="BV38" s="159">
        <f>BU40</f>
        <v>11332.006118688918</v>
      </c>
      <c r="BY38" s="196">
        <f>BV40</f>
        <v>14540.007648361145</v>
      </c>
      <c r="BZ38" s="104">
        <f t="shared" ref="BZ38:CE38" si="32">BY40</f>
        <v>18048.009178033371</v>
      </c>
      <c r="CA38" s="104">
        <f t="shared" si="32"/>
        <v>21856.010707705598</v>
      </c>
      <c r="CB38" s="104">
        <f t="shared" si="32"/>
        <v>25664.012237377825</v>
      </c>
      <c r="CC38" s="104">
        <f t="shared" si="32"/>
        <v>29472.013767050052</v>
      </c>
      <c r="CD38" s="104">
        <f t="shared" si="32"/>
        <v>33280.015296722275</v>
      </c>
      <c r="CE38" s="132">
        <f t="shared" si="32"/>
        <v>37088.016826394502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10000</v>
      </c>
      <c r="AH39" s="57">
        <f>'Données à saisir'!C134</f>
        <v>25000</v>
      </c>
      <c r="AI39" s="53">
        <f>'Données à saisir'!D134</f>
        <v>30000</v>
      </c>
      <c r="AW39" s="166" t="s">
        <v>191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5308.0015296722413</v>
      </c>
      <c r="BS39" s="57">
        <f t="shared" ref="BS39:CE39" si="33">BS37-BS36</f>
        <v>808.00152967222584</v>
      </c>
      <c r="BT39" s="57">
        <f t="shared" si="33"/>
        <v>2308.0015296722258</v>
      </c>
      <c r="BU39" s="57">
        <f t="shared" si="33"/>
        <v>2908.0015296722258</v>
      </c>
      <c r="BV39" s="68">
        <f t="shared" si="33"/>
        <v>3208.0015296722258</v>
      </c>
      <c r="BW39" s="1"/>
      <c r="BX39" s="1"/>
      <c r="BY39" s="215">
        <f t="shared" si="33"/>
        <v>3508.0015296722258</v>
      </c>
      <c r="BZ39" s="57">
        <f t="shared" si="33"/>
        <v>3808.0015296722258</v>
      </c>
      <c r="CA39" s="57">
        <f t="shared" si="33"/>
        <v>3808.0015296722258</v>
      </c>
      <c r="CB39" s="57">
        <f t="shared" si="33"/>
        <v>3808.0015296722258</v>
      </c>
      <c r="CC39" s="57">
        <f t="shared" si="33"/>
        <v>3808.0015296722258</v>
      </c>
      <c r="CD39" s="57">
        <f t="shared" si="33"/>
        <v>3808.0015296722258</v>
      </c>
      <c r="CE39" s="74">
        <f t="shared" si="33"/>
        <v>3808.0015296722258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61600</v>
      </c>
      <c r="T40" s="107" t="s">
        <v>150</v>
      </c>
      <c r="U40" s="34"/>
      <c r="V40" s="34"/>
      <c r="W40" s="34"/>
      <c r="X40" s="110">
        <f>SUM(X42:X46)</f>
        <v>20800</v>
      </c>
      <c r="Y40" s="110">
        <f>SUM(Y42:Y46)</f>
        <v>20800</v>
      </c>
      <c r="Z40" s="237">
        <f>SUM(Z42:Z46)</f>
        <v>20800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3300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21000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5308.0015296722413</v>
      </c>
      <c r="BS40" s="65">
        <f>BS38+BS39</f>
        <v>6116.0030593444671</v>
      </c>
      <c r="BT40" s="65">
        <f>BT38+BT39</f>
        <v>8424.004589016693</v>
      </c>
      <c r="BU40" s="65">
        <f>BU38+BU39</f>
        <v>11332.006118688918</v>
      </c>
      <c r="BV40" s="66">
        <f t="shared" ref="BV40:CE40" si="34">BV38+BV39</f>
        <v>14540.007648361145</v>
      </c>
      <c r="BY40" s="197">
        <f t="shared" si="34"/>
        <v>18048.009178033371</v>
      </c>
      <c r="BZ40" s="65">
        <f t="shared" si="34"/>
        <v>21856.010707705598</v>
      </c>
      <c r="CA40" s="65">
        <f t="shared" si="34"/>
        <v>25664.012237377825</v>
      </c>
      <c r="CB40" s="65">
        <f t="shared" si="34"/>
        <v>29472.013767050052</v>
      </c>
      <c r="CC40" s="65">
        <f t="shared" si="34"/>
        <v>33280.015296722275</v>
      </c>
      <c r="CD40" s="65">
        <f t="shared" si="34"/>
        <v>37088.016826394502</v>
      </c>
      <c r="CE40" s="131">
        <f t="shared" si="34"/>
        <v>40896.018356066728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61600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46000</v>
      </c>
      <c r="AH41" s="65">
        <f t="shared" ref="AH41:AI41" si="35">AH35-SUM(AH36:AH40)</f>
        <v>28760</v>
      </c>
      <c r="AI41" s="66">
        <f t="shared" si="35"/>
        <v>28068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2303.9816439332949</v>
      </c>
      <c r="AH42" s="57">
        <f>'Données à saisir'!C90+SUM('Données à saisir'!H70:H72)</f>
        <v>2403.9816439332949</v>
      </c>
      <c r="AI42" s="53">
        <f>'Données à saisir'!D90+SUM('Données à saisir'!I70:I72)</f>
        <v>2503.9816439332949</v>
      </c>
      <c r="AL42" s="63" t="s">
        <v>162</v>
      </c>
      <c r="AM42" s="64"/>
      <c r="AN42" s="64"/>
      <c r="AO42" s="131">
        <f>AO27</f>
        <v>18764.615602656701</v>
      </c>
      <c r="AP42" s="136"/>
      <c r="AQ42" s="131">
        <f>AQ27</f>
        <v>4025.6156026566987</v>
      </c>
      <c r="AR42" s="136"/>
      <c r="AS42" s="128">
        <f>AS27</f>
        <v>3352.4156026566993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21620</v>
      </c>
      <c r="AH43" s="57">
        <f>'Données à saisir'!D39</f>
        <v>21620</v>
      </c>
      <c r="AI43" s="53">
        <f>'Données à saisir'!E39</f>
        <v>21620</v>
      </c>
      <c r="AL43" s="122" t="s">
        <v>163</v>
      </c>
      <c r="AM43" s="1"/>
      <c r="AN43" s="1"/>
      <c r="AO43" s="132">
        <f>AO22</f>
        <v>21620</v>
      </c>
      <c r="AP43" s="137"/>
      <c r="AQ43" s="132">
        <f>AQ22</f>
        <v>21620</v>
      </c>
      <c r="AR43" s="137"/>
      <c r="AS43" s="127">
        <f>AS22</f>
        <v>21620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3000</v>
      </c>
      <c r="Y44" s="113">
        <f>'Données à saisir'!D52</f>
        <v>3000</v>
      </c>
      <c r="Z44" s="236">
        <f>'Données à saisir'!E52</f>
        <v>3000</v>
      </c>
      <c r="AC44" s="63" t="s">
        <v>131</v>
      </c>
      <c r="AD44" s="64"/>
      <c r="AE44" s="64"/>
      <c r="AF44" s="64"/>
      <c r="AG44" s="65">
        <f>AG41-AG42-AG43</f>
        <v>22076.018356066706</v>
      </c>
      <c r="AH44" s="65">
        <f t="shared" ref="AH44:AI44" si="37">AH41-AH42-AH43</f>
        <v>4736.0183560667065</v>
      </c>
      <c r="AI44" s="66">
        <f t="shared" si="37"/>
        <v>3944.0183560667065</v>
      </c>
      <c r="AL44" s="63" t="s">
        <v>160</v>
      </c>
      <c r="AM44" s="64"/>
      <c r="AN44" s="64"/>
      <c r="AO44" s="131">
        <f>AO42+AO43</f>
        <v>40384.615602656704</v>
      </c>
      <c r="AP44" s="136"/>
      <c r="AQ44" s="131">
        <f t="shared" ref="AQ44:AS44" si="38">AQ42+AQ43</f>
        <v>25645.615602656697</v>
      </c>
      <c r="AR44" s="136"/>
      <c r="AS44" s="128">
        <f t="shared" si="38"/>
        <v>24972.4156026567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17000</v>
      </c>
      <c r="Y45" s="113">
        <f>'Données à saisir'!D53</f>
        <v>17000</v>
      </c>
      <c r="Z45" s="236">
        <f>'Données à saisir'!E53</f>
        <v>17000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3311.402753410006</v>
      </c>
      <c r="AH45" s="57">
        <f>IF(AC45="Impôt sur les sociétés",IF(AH44&lt;0,0,IF(AH44&gt;38120,38120*0.15+(AH44-38120)*25%,AH44*0.15)),"")</f>
        <v>710.40275341000597</v>
      </c>
      <c r="AI45" s="53">
        <f>+IF(AC45="Impôt sur les sociétés",IF(AI44&lt;0,0,IF(AI44&gt;38120,38120*0.15+(AI44-38120)*25%,AI44*0.15)),"")</f>
        <v>591.6027534100059</v>
      </c>
      <c r="AL45" s="123" t="s">
        <v>164</v>
      </c>
      <c r="AO45" s="132">
        <f>IF(ISERROR(SUM('Données à saisir'!J70:J72)),0,SUM('Données à saisir'!J70:J72))</f>
        <v>8800</v>
      </c>
      <c r="AP45" s="137"/>
      <c r="AQ45" s="132">
        <f>SUM('Données à saisir'!K70:K72)</f>
        <v>8800</v>
      </c>
      <c r="AR45" s="137"/>
      <c r="AS45" s="127">
        <f>SUM('Données à saisir'!L70:L72)</f>
        <v>8800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100</v>
      </c>
      <c r="Y46" s="113">
        <f>'Données à saisir'!D54</f>
        <v>100</v>
      </c>
      <c r="Z46" s="236">
        <f>'Données à saisir'!E54</f>
        <v>100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31584.615602656704</v>
      </c>
      <c r="AP46" s="138"/>
      <c r="AQ46" s="133">
        <f>AQ44-AQ45</f>
        <v>16845.615602656697</v>
      </c>
      <c r="AR46" s="138"/>
      <c r="AS46" s="129">
        <f>AS44-AS45</f>
        <v>16172.4156026567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45129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18764.615602656701</v>
      </c>
      <c r="AH47" s="65">
        <f t="shared" ref="AH47:AI47" si="39">AH44-SUM(AH45)</f>
        <v>4025.6156026567005</v>
      </c>
      <c r="AI47" s="66">
        <f t="shared" si="39"/>
        <v>3352.4156026567007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116600</v>
      </c>
      <c r="T48" s="109" t="s">
        <v>151</v>
      </c>
      <c r="U48" s="108"/>
      <c r="V48" s="108"/>
      <c r="W48" s="108"/>
      <c r="X48" s="112">
        <f>SUM(X31,X40)</f>
        <v>21620</v>
      </c>
      <c r="Y48" s="112">
        <f>SUM(Y31,Y40)</f>
        <v>21620</v>
      </c>
      <c r="Z48" s="118">
        <f>SUM(Z31,Z40)</f>
        <v>21620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35376.018356066706</v>
      </c>
      <c r="AH52" s="90">
        <f>AH35-SUM(AH36:AH38,AH42:AH43)</f>
        <v>47236.018356066706</v>
      </c>
      <c r="AI52" s="90">
        <f>AI35-SUM(AI36:AI38,AI42:AI43)</f>
        <v>54944.018356066706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2023-07-22T14:45:00Z</dcterms:modified>
</cp:coreProperties>
</file>