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5818BCAE-9114-42FA-AFFB-01A5C244AFCF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C28" i="2" l="1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53" i="1"/>
  <c r="G53" i="1" s="1"/>
  <c r="F40" i="1"/>
  <c r="X40" i="2"/>
  <c r="AH14" i="2"/>
  <c r="AH13" i="2" s="1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Z34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0" i="2" l="1"/>
  <c r="AQ14" i="2" s="1"/>
  <c r="C140" i="1"/>
  <c r="H140" i="1"/>
  <c r="AO16" i="2"/>
  <c r="AG16" i="2"/>
  <c r="AG35" i="2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AQ15" i="2"/>
  <c r="BR24" i="2"/>
  <c r="CF24" i="2" s="1"/>
  <c r="AI10" i="2"/>
  <c r="AS13" i="2" s="1"/>
  <c r="I147" i="1"/>
  <c r="D147" i="1"/>
  <c r="AH16" i="2"/>
  <c r="AH35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BB11" i="2"/>
  <c r="BB36" i="2" s="1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AO18" i="2"/>
  <c r="BA12" i="2"/>
  <c r="AP15" i="2"/>
  <c r="BB12" i="2"/>
  <c r="H44" i="1"/>
  <c r="I44" i="1" s="1"/>
  <c r="J44" i="1" s="1"/>
  <c r="AG52" i="2"/>
  <c r="B142" i="1" s="1"/>
  <c r="AO22" i="2"/>
  <c r="AS22" i="2"/>
  <c r="AH43" i="2"/>
  <c r="F39" i="1"/>
  <c r="G39" i="1" s="1"/>
  <c r="AH40" i="2" l="1"/>
  <c r="AQ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H41" i="2"/>
  <c r="AH44" i="2" s="1"/>
  <c r="AH45" i="2" s="1"/>
  <c r="AI40" i="2"/>
  <c r="Z17" i="2" s="1"/>
  <c r="Y17" i="2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P18" i="2"/>
  <c r="AS43" i="2"/>
  <c r="AO43" i="2"/>
  <c r="AP22" i="2"/>
  <c r="H39" i="1"/>
  <c r="K44" i="1"/>
  <c r="L44" i="1" s="1"/>
  <c r="AH52" i="2"/>
  <c r="AQ22" i="2"/>
  <c r="AT17" i="2" l="1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K16" i="2"/>
  <c r="BK18" i="2" s="1"/>
  <c r="M44" i="1"/>
  <c r="I39" i="1"/>
  <c r="J39" i="1" s="1"/>
  <c r="K39" i="1" s="1"/>
  <c r="BR41" i="2"/>
  <c r="BS38" i="2"/>
  <c r="BS40" i="2" s="1"/>
  <c r="AQ43" i="2"/>
  <c r="AR22" i="2"/>
  <c r="BB16" i="2"/>
  <c r="AH47" i="2"/>
  <c r="BB18" i="2"/>
  <c r="AS18" i="2" l="1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<sst xmlns="http://schemas.openxmlformats.org/spreadsheetml/2006/main" count="451" uniqueCount="302">
  <si>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</si>
  <si>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</si>
  <si>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</si>
  <si>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</si>
  <si>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</si>
  <si>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</si>
  <si>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</si>
  <si>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</si>
  <si>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</si>
  <si>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</si>
  <si>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</si>
  <si>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</si>
  <si>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</si>
  <si>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</si>
  <si>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</si>
  <si>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</si>
  <si>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</si>
  <si>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</si>
  <si>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</si>
  <si>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</si>
  <si>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</si>
  <si>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</si>
  <si>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</si>
  <si>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</si>
  <si>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</si>
  <si>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</si>
  <si>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</si>
  <si>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</si>
  <si>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</si>
  <si>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</si>
  <si>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</si>
  <si>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</si>
  <si>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</si>
  <si>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</si>
  <si>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</si>
  <si>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</si>
  <si>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</si>
  <si>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</si>
  <si>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</si>
  <si>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</si>
  <si>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</si>
  <si>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</si>
  <si>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</si>
  <si>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</si>
  <si>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</si>
  <si>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</si>
  <si>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</si>
  <si>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</si>
  <si>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</si>
  <si>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</si>
  <si>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</si>
  <si>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</si>
  <si>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</si>
  <si>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</si>
  <si>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</si>
  <si>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</si>
  <si>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</si>
  <si>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</si>
  <si>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</si>
  <si>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</si>
  <si>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</si>
  <si>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</si>
  <si>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</si>
  <si>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</si>
  <si>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</si>
  <si>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</si>
  <si>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</si>
  <si>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</si>
  <si>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</si>
  <si>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</si>
  <si>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</si>
  <si>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</si>
  <si>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</si>
  <si>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</si>
  <si>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</si>
  <si>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</si>
  <si>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</si>
  <si>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</si>
  <si>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</si>
  <si>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</si>
  <si>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</si>
  <si>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</si>
  <si>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</si>
  <si>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</si>
  <si>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</si>
  <si>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</si>
  <si>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</si>
  <si>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</si>
  <si>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</si>
  <si>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</si>
  <si>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</si>
  <si>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</si>
  <si>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</si>
  <si>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</si>
  <si>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</si>
  <si>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</si>
  <si>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</si>
  <si>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</si>
  <si>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</si>
  <si>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</si>
  <si>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</si>
  <si>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</si>
  <si>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</si>
  <si>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</si>
  <si>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</si>
  <si>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</si>
  <si>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</si>
  <si>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</si>
  <si>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</si>
  <si>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</si>
  <si>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</si>
  <si>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</si>
  <si>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</si>
  <si>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</si>
  <si>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</si>
  <si>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</si>
  <si>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</si>
  <si>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</si>
  <si>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</si>
  <si>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</si>
  <si>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</si>
  <si>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</si>
  <si>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</si>
  <si>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</si>
  <si>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</si>
  <si>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</si>
  <si>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</si>
  <si>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</si>
  <si>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</si>
  <si>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</si>
  <si>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</si>
  <si>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</si>
  <si>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</si>
  <si>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</si>
  <si>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</si>
  <si>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</si>
  <si>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</si>
  <si>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</si>
  <si>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</si>
  <si>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</si>
  <si>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</si>
  <si>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</si>
  <si>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</si>
  <si>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</si>
  <si>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</si>
  <si>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</si>
  <si>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</si>
  <si>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</si>
  <si>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</si>
  <si>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</si>
  <si>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</si>
  <si>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</si>
  <si>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</si>
  <si>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</si>
  <si>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</si>
  <si>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</si>
  <si>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</si>
  <si>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</si>
  <si>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</si>
  <si>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</si>
  <si>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</si>
  <si>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</si>
  <si>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</si>
  <si>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</si>
  <si>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</si>
  <si>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</si>
  <si>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</si>
  <si>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</si>
  <si>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</si>
  <si>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</si>
  <si>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</si>
  <si>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</si>
  <si>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</si>
  <si>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</si>
  <si>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</si>
  <si>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</si>
  <si>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</si>
  <si>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</si>
  <si>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</si>
  <si>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</si>
  <si>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</si>
  <si>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</si>
  <si>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</si>
  <si>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</si>
  <si>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</si>
  <si>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</si>
  <si>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</si>
  <si>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</si>
  <si>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</si>
  <si>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</si>
  <si>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</si>
  <si>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</si>
  <si>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</si>
  <si>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</si>
  <si>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</si>
  <si>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</si>
  <si>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</si>
  <si>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</si>
  <si>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</si>
  <si>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</si>
  <si>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</si>
  <si>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</si>
  <si>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</si>
  <si>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</si>
  <si>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</si>
  <si>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</si>
  <si>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</si>
  <si>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</si>
  <si>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</si>
  <si>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</si>
  <si>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</si>
  <si>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</si>
  <si>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</si>
  <si>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</si>
  <si>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</si>
  <si>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</si>
  <si>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</si>
  <si>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</si>
  <si>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</si>
  <si>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</si>
  <si>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</si>
  <si>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</si>
  <si>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</si>
  <si>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</si>
  <si>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</si>
  <si>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</si>
  <si>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</si>
  <si>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</si>
  <si>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</si>
  <si>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</si>
  <si>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</si>
  <si>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</si>
  <si>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</si>
  <si>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</si>
  <si>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</si>
  <si>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</si>
  <si>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</si>
  <si>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</si>
  <si>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</si>
  <si>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</si>
  <si>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</si>
  <si>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</si>
  <si>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</si>
  <si>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</si>
  <si>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</si>
  <si>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</si>
  <si>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</si>
  <si>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</si>
  <si>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</si>
  <si>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</si>
  <si>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</si>
  <si>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</si>
  <si>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</si>
  <si>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</si>
  <si>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</si>
  <si>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</si>
  <si>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</si>
  <si>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</si>
  <si>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</si>
  <si>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</si>
  <si>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</si>
  <si>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</si>
  <si>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</si>
  <si>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</si>
  <si>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</si>
  <si>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</si>
  <si>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</si>
  <si>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</si>
  <si>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</si>
  <si>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</si>
  <si>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</si>
  <si>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</si>
  <si>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</si>
  <si>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</si>
  <si>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</si>
  <si>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</si>
  <si>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</si>
  <si>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</si>
  <si>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</si>
  <si>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</si>
  <si>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</si>
  <si>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</si>
  <si>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</si>
  <si>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</si>
  <si>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</si>
  <si>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</si>
  <si>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</si>
  <si>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</si>
  <si>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</si>
  <si>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</si>
  <si>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</si>
  <si>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</si>
  <si>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</si>
  <si>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</si>
  <si>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</si>
  <si>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</si>
  <si>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</si>
  <si>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</si>
  <si>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</si>
  <si>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</si>
  <si>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Restaurant</t>
  </si>
  <si>
    <t>Prêt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</si>
</sst>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300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50000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87600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22600</v>
      </c>
      <c r="C39" s="116">
        <f t="shared" ref="C39:C54" si="0">IF(ISERROR($B39/$C$36),0,$B39/$C$36)</f>
        <v>4520</v>
      </c>
      <c r="D39" s="116">
        <f>IF($B39&gt;(SUM(C39:$C39)),IF(ISERROR($B39/$C$36),"",$B39/$C$36),0)</f>
        <v>4520</v>
      </c>
      <c r="E39" s="116">
        <f>IF($B39&gt;(SUM($C39:D39)),IF(ISERROR($B39/$C$36),"",$B39/$C$36),0)</f>
        <v>4520</v>
      </c>
      <c r="F39" s="116">
        <f>IF($B39&gt;(SUM($C39:E39)),IF(ISERROR($B39/$C$36),"",$B39/$C$36),0)</f>
        <v>4520</v>
      </c>
      <c r="G39" s="116">
        <f>IF($B39&gt;(SUM($C39:F39)),IF(ISERROR($B39/$C$36),"",$B39/$C$36),0)</f>
        <v>4520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22600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33000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301</v>
      </c>
      <c r="B61" s="255">
        <v>54600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87600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721.44618357421291</v>
      </c>
      <c r="C70" s="79">
        <f>B70*D61</f>
        <v>60601.479420233882</v>
      </c>
      <c r="D70" s="82">
        <f>IF(ISERROR(B61/D61),0,B61/D61)</f>
        <v>650</v>
      </c>
      <c r="E70" s="152">
        <f>B70-D70</f>
        <v>71.44618357421291</v>
      </c>
      <c r="F70" s="80">
        <f>E70*D61</f>
        <v>6001.4794202338844</v>
      </c>
      <c r="G70" s="153">
        <f>IF($D61&gt;12,$E70*12,$E70*$D61)</f>
        <v>857.35420289055492</v>
      </c>
      <c r="H70" s="153">
        <f>IF($D61-12&lt;0,0,IF($D61&gt;24,$E70*12,($D61-12)*$E70))</f>
        <v>857.35420289055492</v>
      </c>
      <c r="I70" s="153">
        <f>IF($D61-24&lt;0,0,IF($D61&gt;36,$E70*12,($D61-24)*$E70))</f>
        <v>857.35420289055492</v>
      </c>
      <c r="J70" s="153">
        <f>IF($D61&gt;12,$D70*12,$D70*$D61)</f>
        <v>7800</v>
      </c>
      <c r="K70" s="153">
        <f>IF($D61-12&lt;0,0,IF($D61&gt;24,$D70*12,($D61-12)*$D70))</f>
        <v>7800</v>
      </c>
      <c r="L70" s="153">
        <f>IF($D61-24&lt;0,0,IF($D61&gt;36,$D70*12,($D61-24)*$D70))</f>
        <v>7800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857.35420289055492</v>
      </c>
      <c r="J73" s="203">
        <f t="shared" si="17"/>
        <v>7800</v>
      </c>
      <c r="K73" s="203">
        <f t="shared" si="17"/>
        <v>7800</v>
      </c>
      <c r="L73" s="203">
        <f t="shared" si="17"/>
        <v>7800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.1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1800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13200</v>
      </c>
      <c r="C88" s="260">
        <v>13300</v>
      </c>
      <c r="D88" s="261">
        <v>13400</v>
      </c>
      <c r="E88" s="5"/>
    </row>
    <row r="89" spans="1:8" x14ac:dyDescent="0.25">
      <c r="A89" s="276" t="s">
        <v>30</v>
      </c>
      <c r="B89" s="259">
        <v>2200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800</v>
      </c>
      <c r="D91" s="261">
        <v>850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28300</v>
      </c>
      <c r="C97" s="10">
        <f>SUM(C77:C95)</f>
        <v>30870</v>
      </c>
      <c r="D97" s="10">
        <f>SUM(D77:D95)</f>
        <v>32190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400</v>
      </c>
      <c r="D103" s="12">
        <f>B103*C103</f>
        <v>8000</v>
      </c>
      <c r="F103" s="281" t="s">
        <v>210</v>
      </c>
      <c r="G103" s="262">
        <v>20</v>
      </c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420</v>
      </c>
      <c r="D104" s="12">
        <f t="shared" ref="D104:D114" si="18">B104*C104</f>
        <v>8400</v>
      </c>
      <c r="F104" s="282" t="s">
        <v>211</v>
      </c>
      <c r="G104" s="262">
        <v>20</v>
      </c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440</v>
      </c>
      <c r="D105" s="12">
        <f t="shared" si="18"/>
        <v>8800</v>
      </c>
      <c r="F105" s="282" t="s">
        <v>212</v>
      </c>
      <c r="G105" s="262">
        <v>20</v>
      </c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460</v>
      </c>
      <c r="D106" s="12">
        <f t="shared" si="18"/>
        <v>9200</v>
      </c>
      <c r="F106" s="282" t="s">
        <v>217</v>
      </c>
      <c r="G106" s="262">
        <v>20</v>
      </c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500</v>
      </c>
      <c r="D107" s="12">
        <f t="shared" si="18"/>
        <v>10000</v>
      </c>
      <c r="F107" s="282" t="s">
        <v>219</v>
      </c>
      <c r="G107" s="262">
        <v>20</v>
      </c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20</v>
      </c>
      <c r="C108" s="255">
        <v>550</v>
      </c>
      <c r="D108" s="12">
        <f t="shared" si="18"/>
        <v>11000</v>
      </c>
      <c r="F108" s="282" t="s">
        <v>220</v>
      </c>
      <c r="G108" s="262">
        <v>20</v>
      </c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600</v>
      </c>
      <c r="D109" s="12">
        <f t="shared" si="18"/>
        <v>12000</v>
      </c>
      <c r="F109" s="282" t="s">
        <v>221</v>
      </c>
      <c r="G109" s="262">
        <v>20</v>
      </c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620</v>
      </c>
      <c r="D110" s="12">
        <f t="shared" si="18"/>
        <v>12400</v>
      </c>
      <c r="F110" s="282" t="s">
        <v>222</v>
      </c>
      <c r="G110" s="262">
        <v>20</v>
      </c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640</v>
      </c>
      <c r="D111" s="12">
        <f t="shared" si="18"/>
        <v>12800</v>
      </c>
      <c r="F111" s="282" t="s">
        <v>223</v>
      </c>
      <c r="G111" s="262">
        <v>20</v>
      </c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660</v>
      </c>
      <c r="D112" s="12">
        <f t="shared" si="18"/>
        <v>13200</v>
      </c>
      <c r="F112" s="282" t="s">
        <v>224</v>
      </c>
      <c r="G112" s="262">
        <v>20</v>
      </c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680</v>
      </c>
      <c r="D113" s="12">
        <f t="shared" si="18"/>
        <v>13600</v>
      </c>
      <c r="F113" s="282" t="s">
        <v>225</v>
      </c>
      <c r="G113" s="262">
        <v>20</v>
      </c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20</v>
      </c>
      <c r="C114" s="255">
        <v>700</v>
      </c>
      <c r="D114" s="12">
        <f t="shared" si="18"/>
        <v>14000</v>
      </c>
      <c r="F114" s="282" t="s">
        <v>226</v>
      </c>
      <c r="G114" s="262">
        <v>20</v>
      </c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133400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</v>
      </c>
      <c r="F117" s="206" t="s">
        <v>119</v>
      </c>
      <c r="I117" s="263">
        <v>0.2</v>
      </c>
    </row>
    <row r="118" spans="1:9" ht="15.95" x14ac:dyDescent="0.3">
      <c r="A118" s="2" t="s">
        <v>57</v>
      </c>
      <c r="D118" s="263">
        <v>0.1</v>
      </c>
      <c r="F118" s="206" t="s">
        <v>118</v>
      </c>
      <c r="I118" s="263">
        <v>0.2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0.28000000000000003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20000</v>
      </c>
      <c r="C133" s="260">
        <v>21000</v>
      </c>
      <c r="D133" s="261">
        <v>22000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16000</v>
      </c>
      <c r="C134" s="260">
        <v>18000</v>
      </c>
      <c r="D134" s="261">
        <v>21000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14400</v>
      </c>
      <c r="C139" s="73">
        <f>C133*0.72</f>
        <v>15120</v>
      </c>
      <c r="D139" s="73">
        <f>D133*0.72</f>
        <v>15840</v>
      </c>
      <c r="F139" t="s">
        <v>90</v>
      </c>
      <c r="G139" s="245">
        <f>B133*0.72</f>
        <v>14400</v>
      </c>
      <c r="H139" s="246">
        <f>C133*0.72</f>
        <v>15120</v>
      </c>
      <c r="I139" s="73">
        <f>D133*0.72</f>
        <v>15840</v>
      </c>
    </row>
    <row r="140" spans="1:9" ht="15.1" hidden="1" customHeight="1" x14ac:dyDescent="0.25">
      <c r="A140" t="s">
        <v>1</v>
      </c>
      <c r="B140" s="71">
        <f>+'Plan financier à imprimer'!AG11*12.6%</f>
        <v>16808.400000000001</v>
      </c>
      <c r="C140" s="71">
        <f>+'Plan financier à imprimer'!AH11*12.6%</f>
        <v>18489.240000000002</v>
      </c>
      <c r="D140" s="71">
        <f>+'Plan financier à imprimer'!AI11*12.6%</f>
        <v>20338.164000000001</v>
      </c>
      <c r="E140" s="93" t="s">
        <v>132</v>
      </c>
      <c r="F140" t="s">
        <v>1</v>
      </c>
      <c r="G140" s="245">
        <f>+'Plan financier à imprimer'!AG11*6.3%</f>
        <v>8404.2000000000007</v>
      </c>
      <c r="H140" s="247">
        <f>+'Plan financier à imprimer'!AH11*12.6%</f>
        <v>18489.240000000002</v>
      </c>
      <c r="I140" s="71">
        <f>+'Plan financier à imprimer'!AI11*12.6%</f>
        <v>20338.164000000001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8391.193739132832</v>
      </c>
      <c r="C142" s="71">
        <f>IF('Plan financier à imprimer'!AH52*30%&lt;3456,3456,'Plan financier à imprimer'!AH52*30%)</f>
        <v>9985.6337391328289</v>
      </c>
      <c r="D142" s="71">
        <f>IF('Plan financier à imprimer'!AI52*30%&lt;3456,3456,'Plan financier à imprimer'!AI52*30%)</f>
        <v>12243.217739132828</v>
      </c>
      <c r="F142" t="s">
        <v>110</v>
      </c>
      <c r="G142" s="245">
        <v>1305</v>
      </c>
      <c r="H142" s="248">
        <f>IF('Plan financier à imprimer'!AH52*32%&lt;3456,3456,'Plan financier à imprimer'!AH52*32%)</f>
        <v>10651.342655075017</v>
      </c>
      <c r="I142" s="72">
        <f>IF('Plan financier à imprimer'!AI52*32%&lt;3456,3456,'Plan financier à imprimer'!AI52*32%)</f>
        <v>13059.432255075018</v>
      </c>
    </row>
    <row r="143" spans="1:9" ht="15.75" hidden="1" customHeight="1" x14ac:dyDescent="0.25">
      <c r="A143" t="s">
        <v>109</v>
      </c>
      <c r="B143" s="71">
        <f>IF(B134*45%&lt;3456,3456,B134*45%)</f>
        <v>7200</v>
      </c>
      <c r="C143" s="71">
        <f>IF(C134*45%&lt;3456,3456,C134*45%)</f>
        <v>8100</v>
      </c>
      <c r="D143" s="71">
        <f>IF(D134*45%&lt;3456,3456,D134*45%)</f>
        <v>9450</v>
      </c>
      <c r="F143" t="s">
        <v>109</v>
      </c>
      <c r="G143" s="245">
        <v>1305</v>
      </c>
      <c r="H143" s="248">
        <f>IF(C134*45%&lt;3456,3456,C134*45%)</f>
        <v>8100</v>
      </c>
      <c r="I143" s="72">
        <f>IF(D134*45%&lt;3456,3456,D134*45%)</f>
        <v>9450</v>
      </c>
    </row>
    <row r="144" spans="1:9" ht="15.1" hidden="1" x14ac:dyDescent="0.25">
      <c r="A144" t="s">
        <v>111</v>
      </c>
      <c r="B144" s="71">
        <f>IF(B134*45%&lt;3456,3456,B134*45%)</f>
        <v>7200</v>
      </c>
      <c r="C144" s="71">
        <f>IF(C134*45%&lt;3456,3456,C134*45%)</f>
        <v>8100</v>
      </c>
      <c r="D144" s="71">
        <f>IF(D134*45%&lt;3456,3456,D134*45%)</f>
        <v>9450</v>
      </c>
      <c r="F144" t="s">
        <v>111</v>
      </c>
      <c r="G144" s="245">
        <v>1305</v>
      </c>
      <c r="H144" s="248">
        <f>IF(C134*45%&lt;3456,3456,C134*45%)</f>
        <v>8100</v>
      </c>
      <c r="I144" s="72">
        <f>IF(D134*45%&lt;3456,3456,D134*45%)</f>
        <v>9450</v>
      </c>
    </row>
    <row r="145" spans="1:9" ht="15.1" hidden="1" x14ac:dyDescent="0.25">
      <c r="A145" t="s">
        <v>112</v>
      </c>
      <c r="B145" s="71">
        <f>B134*70%</f>
        <v>11200</v>
      </c>
      <c r="C145" s="71">
        <f t="shared" ref="C145:D145" si="20">C134*70%</f>
        <v>12600</v>
      </c>
      <c r="D145" s="71">
        <f t="shared" si="20"/>
        <v>14699.999999999998</v>
      </c>
      <c r="F145" t="s">
        <v>112</v>
      </c>
      <c r="G145" s="245">
        <f>B134*33%</f>
        <v>5280</v>
      </c>
      <c r="H145" s="245">
        <f>C134*70%</f>
        <v>12600</v>
      </c>
      <c r="I145" s="245">
        <f>D134*70%</f>
        <v>14699.999999999998</v>
      </c>
    </row>
    <row r="146" spans="1:9" ht="15.1" hidden="1" x14ac:dyDescent="0.25">
      <c r="A146" t="s">
        <v>113</v>
      </c>
      <c r="B146" s="71">
        <f>B134*70%</f>
        <v>11200</v>
      </c>
      <c r="C146" s="71">
        <f t="shared" ref="C146:D146" si="21">C134*70%</f>
        <v>12600</v>
      </c>
      <c r="D146" s="71">
        <f t="shared" si="21"/>
        <v>14699.999999999998</v>
      </c>
      <c r="F146" t="s">
        <v>113</v>
      </c>
      <c r="G146" s="245">
        <f>B134*33%</f>
        <v>5280</v>
      </c>
      <c r="H146" s="245">
        <f>C134*70%</f>
        <v>12600</v>
      </c>
      <c r="I146" s="245">
        <f>D134*70%</f>
        <v>14699.999999999998</v>
      </c>
    </row>
    <row r="147" spans="1:9" ht="15.1" hidden="1" x14ac:dyDescent="0.25">
      <c r="A147" s="1" t="s">
        <v>108</v>
      </c>
      <c r="B147" s="73">
        <f>SUMIF($A$140:$A$146,$B$8,B140:B146)</f>
        <v>11200</v>
      </c>
      <c r="C147" s="73">
        <f>SUMIF($A$140:$A$146,$B$8,C140:C146)</f>
        <v>12600</v>
      </c>
      <c r="D147" s="73">
        <f>SUMIF($A$140:$A$146,$B$8,D140:D146)</f>
        <v>14699.999999999998</v>
      </c>
      <c r="F147" s="1" t="s">
        <v>108</v>
      </c>
      <c r="G147" s="245">
        <f>SUMIF($A$140:$A$146,$B$8,G140:G146)</f>
        <v>5280</v>
      </c>
      <c r="H147" s="246">
        <f>SUMIF($A$140:$A$146,$B$8,H140:H146)</f>
        <v>12600</v>
      </c>
      <c r="I147" s="246">
        <f>SUMIF($A$140:$A$146,$B$8,I140:I146)</f>
        <v>14699.999999999998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Restaurant</v>
      </c>
      <c r="T6" s="1" t="s">
        <v>68</v>
      </c>
      <c r="V6" s="3" t="str">
        <f>IF(ISBLANK('Données à saisir'!$B7),"",('Données à saisir'!$B7))</f>
        <v>Restaurant</v>
      </c>
      <c r="AC6" s="1" t="s">
        <v>68</v>
      </c>
      <c r="AE6" s="3" t="str">
        <f>IF(ISBLANK('Données à saisir'!$B7),"",('Données à saisir'!$B7))</f>
        <v>Restaurant</v>
      </c>
      <c r="AL6" s="1" t="s">
        <v>68</v>
      </c>
      <c r="AN6" s="3" t="str">
        <f>IF(ISBLANK('Données à saisir'!$B7),"",('Données à saisir'!$B7))</f>
        <v>Restaurant</v>
      </c>
      <c r="AW6" s="1" t="s">
        <v>68</v>
      </c>
      <c r="AY6" s="3" t="str">
        <f>IF(ISBLANK('Données à saisir'!$B7),"",('Données à saisir'!$B7))</f>
        <v>Restaurant</v>
      </c>
      <c r="BF6" s="1" t="s">
        <v>68</v>
      </c>
      <c r="BH6" s="3" t="str">
        <f>IF(ISBLANK('Données à saisir'!$B7),"",('Données à saisir'!$B7))</f>
        <v>Restaurant</v>
      </c>
      <c r="BO6" s="1" t="s">
        <v>68</v>
      </c>
      <c r="BQ6" s="3" t="str">
        <f>IF(ISBLANK('Données à saisir'!$B7),"",('Données à saisir'!$B7))</f>
        <v>Restaurant</v>
      </c>
      <c r="BV6" s="193" t="s">
        <v>216</v>
      </c>
      <c r="BY6" s="1" t="s">
        <v>68</v>
      </c>
      <c r="CA6" s="3" t="str">
        <f>IF(ISBLANK('Données à saisir'!$B7),"",('Données à saisir'!$B7))</f>
        <v>Restaurant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133400</v>
      </c>
      <c r="AH10" s="60">
        <f t="shared" ref="AH10:AI10" si="0">SUM(AH11:AH12)</f>
        <v>146740</v>
      </c>
      <c r="AI10" s="226">
        <f t="shared" si="0"/>
        <v>161414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133400</v>
      </c>
      <c r="AH11" s="62">
        <f>AG11+AG11*'Données à saisir'!D117</f>
        <v>146740</v>
      </c>
      <c r="AI11" s="54">
        <f>AH11+AH11*'Données à saisir'!D118</f>
        <v>161414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133400</v>
      </c>
      <c r="BB11" s="60">
        <f>AH10</f>
        <v>146740</v>
      </c>
      <c r="BC11" s="226">
        <f>AI10</f>
        <v>161414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53100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37352</v>
      </c>
      <c r="BB12" s="104">
        <f>AQ15</f>
        <v>41087.200000000004</v>
      </c>
      <c r="BC12" s="120">
        <f>AS15</f>
        <v>45195.920000000006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37352</v>
      </c>
      <c r="AH13" s="57">
        <f>AH14</f>
        <v>41087.200000000004</v>
      </c>
      <c r="AI13" s="53">
        <f>AI14</f>
        <v>45195.920000000006</v>
      </c>
      <c r="AL13" s="107" t="s">
        <v>153</v>
      </c>
      <c r="AM13" s="34"/>
      <c r="AN13" s="34"/>
      <c r="AO13" s="119">
        <f>AG10</f>
        <v>133400</v>
      </c>
      <c r="AP13" s="139">
        <v>1</v>
      </c>
      <c r="AQ13" s="119">
        <f>AH10</f>
        <v>146740</v>
      </c>
      <c r="AR13" s="140">
        <v>1</v>
      </c>
      <c r="AS13" s="119">
        <f>AI10</f>
        <v>161414</v>
      </c>
      <c r="AT13" s="141">
        <v>1</v>
      </c>
      <c r="AW13" s="123" t="s">
        <v>177</v>
      </c>
      <c r="BA13" s="104">
        <f>BA12</f>
        <v>37352</v>
      </c>
      <c r="BB13" s="104">
        <f t="shared" ref="BB13:BC13" si="1">BB12</f>
        <v>41087.200000000004</v>
      </c>
      <c r="BC13" s="120">
        <f t="shared" si="1"/>
        <v>45195.920000000006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37352</v>
      </c>
      <c r="AH14" s="62">
        <f>'Données à saisir'!$D$123*'Plan financier à imprimer'!AH11</f>
        <v>41087.200000000004</v>
      </c>
      <c r="AI14" s="54">
        <f>'Données à saisir'!$D$123*'Plan financier à imprimer'!AI11</f>
        <v>45195.920000000006</v>
      </c>
      <c r="AL14" s="38" t="s">
        <v>154</v>
      </c>
      <c r="AO14" s="104">
        <f>AG10</f>
        <v>133400</v>
      </c>
      <c r="AP14" s="142">
        <v>1</v>
      </c>
      <c r="AQ14" s="104">
        <f>AH10</f>
        <v>146740</v>
      </c>
      <c r="AR14" s="143">
        <v>1</v>
      </c>
      <c r="AS14" s="104">
        <f>AI10</f>
        <v>161414</v>
      </c>
      <c r="AT14" s="144">
        <v>1</v>
      </c>
      <c r="AW14" s="123" t="s">
        <v>178</v>
      </c>
      <c r="BA14" s="57">
        <f>BA11-BA13</f>
        <v>96048</v>
      </c>
      <c r="BB14" s="57">
        <f t="shared" ref="BB14:BC14" si="2">BB11-BB13</f>
        <v>105652.79999999999</v>
      </c>
      <c r="BC14" s="53">
        <f t="shared" si="2"/>
        <v>116218.07999999999</v>
      </c>
      <c r="BF14" s="186" t="s">
        <v>201</v>
      </c>
      <c r="BG14" s="52"/>
      <c r="BH14" s="52"/>
      <c r="BI14" s="52"/>
      <c r="BJ14" s="187">
        <f>Q12+Q23</f>
        <v>73600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16000</v>
      </c>
      <c r="Y15" s="60">
        <f>'Données à saisir'!C134</f>
        <v>18000</v>
      </c>
      <c r="Z15" s="61">
        <f>'Données à saisir'!D134</f>
        <v>21000</v>
      </c>
      <c r="AC15" s="67"/>
      <c r="AG15" s="62"/>
      <c r="AH15" s="62"/>
      <c r="AI15" s="69"/>
      <c r="AL15" s="70" t="s">
        <v>80</v>
      </c>
      <c r="AO15" s="104">
        <f>AG14</f>
        <v>37352</v>
      </c>
      <c r="AP15" s="145">
        <f>AO15/$AO$14</f>
        <v>0.28000000000000003</v>
      </c>
      <c r="AQ15" s="104">
        <f>AH14</f>
        <v>41087.200000000004</v>
      </c>
      <c r="AR15" s="145">
        <f>AQ15/$AQ$14</f>
        <v>0.28000000000000003</v>
      </c>
      <c r="AS15" s="104">
        <f>AI14</f>
        <v>45195.920000000006</v>
      </c>
      <c r="AT15" s="146">
        <f>AS15/$AS$14</f>
        <v>0.28000000000000003</v>
      </c>
      <c r="AW15" s="63" t="s">
        <v>195</v>
      </c>
      <c r="AX15" s="64"/>
      <c r="AY15" s="64"/>
      <c r="AZ15" s="64"/>
      <c r="BA15" s="154">
        <f>IF(ISERROR(BA14/BA11),0,BA14/BA11)</f>
        <v>0.72</v>
      </c>
      <c r="BB15" s="154">
        <f t="shared" ref="BB15:BC15" si="3">IF(ISERROR(BB14/BB11),0,BB14/BB11)</f>
        <v>0.72</v>
      </c>
      <c r="BC15" s="158">
        <f t="shared" si="3"/>
        <v>0.72</v>
      </c>
      <c r="BF15" s="123" t="s">
        <v>266</v>
      </c>
      <c r="BJ15" s="104">
        <f>Q30</f>
        <v>4000</v>
      </c>
      <c r="BK15" s="104"/>
      <c r="BL15" s="120"/>
      <c r="BO15" s="192" t="s">
        <v>202</v>
      </c>
      <c r="BP15" s="52"/>
      <c r="BQ15" s="52"/>
      <c r="BR15" s="187">
        <f>BJ19</f>
        <v>33000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33000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0.125</v>
      </c>
      <c r="Z16" s="103">
        <f>IF(ISERROR((Z15-Y15)/Y15),"",(Z15-Y15)/Y15)</f>
        <v>0.16666666666666666</v>
      </c>
      <c r="AC16" s="63" t="s">
        <v>127</v>
      </c>
      <c r="AD16" s="64"/>
      <c r="AE16" s="64"/>
      <c r="AF16" s="64"/>
      <c r="AG16" s="65">
        <f>AG10-AG13</f>
        <v>96048</v>
      </c>
      <c r="AH16" s="65">
        <f>AH10-AH13</f>
        <v>105652.79999999999</v>
      </c>
      <c r="AI16" s="66">
        <f>AI10-AI13</f>
        <v>116218.07999999999</v>
      </c>
      <c r="AL16" s="63" t="s">
        <v>156</v>
      </c>
      <c r="AM16" s="64"/>
      <c r="AN16" s="64"/>
      <c r="AO16" s="65">
        <f>AO14-AO15</f>
        <v>96048</v>
      </c>
      <c r="AP16" s="147">
        <f t="shared" ref="AP16:AP28" si="5">AO16/$AO$14</f>
        <v>0.72</v>
      </c>
      <c r="AQ16" s="65">
        <f t="shared" ref="AQ16:AS16" si="6">AQ14-AQ15</f>
        <v>105652.79999999999</v>
      </c>
      <c r="AR16" s="148">
        <f t="shared" ref="AR16:AR28" si="7">AQ16/$AQ$14</f>
        <v>0.72</v>
      </c>
      <c r="AS16" s="65">
        <f t="shared" si="6"/>
        <v>116218.07999999999</v>
      </c>
      <c r="AT16" s="150">
        <f t="shared" ref="AT16:AT28" si="8">AS16/$AS$14</f>
        <v>0.72</v>
      </c>
      <c r="AW16" s="123" t="s">
        <v>179</v>
      </c>
      <c r="BA16" s="104">
        <f>SUM(AO17,AO19,AO20,AO22,AO24)</f>
        <v>95277.35420289055</v>
      </c>
      <c r="BB16" s="104">
        <f>SUM(AQ17,AQ19,AQ20,AQ22,AQ24)</f>
        <v>102967.35420289055</v>
      </c>
      <c r="BC16" s="159">
        <f>SUM(AS17,AS19,AS20,AS22,AS24)</f>
        <v>111107.35420289055</v>
      </c>
      <c r="BF16" s="123" t="s">
        <v>199</v>
      </c>
      <c r="BJ16" s="104">
        <f>BA39</f>
        <v>-1023.3424657534247</v>
      </c>
      <c r="BK16" s="104">
        <f>BB39-BA39</f>
        <v>-102.3342465753426</v>
      </c>
      <c r="BL16" s="120">
        <f>+BC39-BB39</f>
        <v>-112.56767123287659</v>
      </c>
      <c r="BO16" s="123" t="s">
        <v>203</v>
      </c>
      <c r="BR16" s="104">
        <f>BJ20</f>
        <v>54600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54600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11200</v>
      </c>
      <c r="Y17" s="57">
        <f>AH40</f>
        <v>12600</v>
      </c>
      <c r="Z17" s="53">
        <f>AI40</f>
        <v>14699.999999999998</v>
      </c>
      <c r="AC17" s="37" t="s">
        <v>128</v>
      </c>
      <c r="AG17" s="57">
        <f>SUM(AG18:AG33)</f>
        <v>27550</v>
      </c>
      <c r="AH17" s="57">
        <f>SUM(AH18:AH33)</f>
        <v>29270</v>
      </c>
      <c r="AI17" s="68">
        <f>SUM(AI18:AI33)</f>
        <v>30490</v>
      </c>
      <c r="AL17" s="70" t="s">
        <v>81</v>
      </c>
      <c r="AO17" s="104">
        <f>AG17</f>
        <v>27550</v>
      </c>
      <c r="AP17" s="145">
        <f t="shared" si="5"/>
        <v>0.20652173913043478</v>
      </c>
      <c r="AQ17" s="104">
        <f>AH17</f>
        <v>29270</v>
      </c>
      <c r="AR17" s="149">
        <f t="shared" si="7"/>
        <v>0.19946844759438462</v>
      </c>
      <c r="AS17" s="104">
        <f>AI17</f>
        <v>30490</v>
      </c>
      <c r="AT17" s="146">
        <f t="shared" si="8"/>
        <v>0.18889315672742141</v>
      </c>
      <c r="AW17" s="63" t="s">
        <v>196</v>
      </c>
      <c r="AX17" s="64"/>
      <c r="AY17" s="64"/>
      <c r="AZ17" s="64"/>
      <c r="BA17" s="65">
        <f>BA12+BA16</f>
        <v>132629.35420289054</v>
      </c>
      <c r="BB17" s="65">
        <f t="shared" ref="BB17:BC17" si="9">BB12+BB16</f>
        <v>144054.55420289055</v>
      </c>
      <c r="BC17" s="66">
        <f t="shared" si="9"/>
        <v>156303.27420289055</v>
      </c>
      <c r="BF17" s="123" t="s">
        <v>200</v>
      </c>
      <c r="BJ17" s="104">
        <f>AO45</f>
        <v>7800</v>
      </c>
      <c r="BK17" s="104">
        <f>AQ45</f>
        <v>7800</v>
      </c>
      <c r="BL17" s="120">
        <f>AS45</f>
        <v>7800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>
        <f>IF(ISBLANK('Données à saisir'!B22),"",'Données à saisir'!B22)</f>
        <v>50000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68498</v>
      </c>
      <c r="AP18" s="147">
        <f t="shared" si="5"/>
        <v>0.51347826086956527</v>
      </c>
      <c r="AQ18" s="65">
        <f t="shared" ref="AQ18:AS18" si="10">AQ16-AQ17</f>
        <v>76382.799999999988</v>
      </c>
      <c r="AR18" s="148">
        <f t="shared" si="7"/>
        <v>0.52053155240561533</v>
      </c>
      <c r="AS18" s="65">
        <f t="shared" si="10"/>
        <v>85728.079999999987</v>
      </c>
      <c r="AT18" s="150">
        <f t="shared" si="8"/>
        <v>0.53110684327257851</v>
      </c>
      <c r="AW18" s="123" t="s">
        <v>180</v>
      </c>
      <c r="BA18" s="104">
        <f>AG44</f>
        <v>770.64579710944508</v>
      </c>
      <c r="BB18" s="104">
        <f>AH44</f>
        <v>2685.4457971094334</v>
      </c>
      <c r="BC18" s="159">
        <f>AI44</f>
        <v>5110.7257971094332</v>
      </c>
      <c r="BF18" s="63" t="s">
        <v>198</v>
      </c>
      <c r="BG18" s="64"/>
      <c r="BH18" s="64"/>
      <c r="BI18" s="64"/>
      <c r="BJ18" s="188">
        <f>SUM(BJ14:BJ17)</f>
        <v>84376.65753424658</v>
      </c>
      <c r="BK18" s="189">
        <f>SUM(BK14:BK17)</f>
        <v>7697.6657534246569</v>
      </c>
      <c r="BL18" s="190">
        <f>SUM(BL14:BL17)</f>
        <v>7687.4323287671232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20000</v>
      </c>
      <c r="Y19" s="60">
        <f>'Données à saisir'!C133</f>
        <v>21000</v>
      </c>
      <c r="Z19" s="61">
        <f>'Données à saisir'!D133</f>
        <v>22000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5.4518195447730679E-3</v>
      </c>
      <c r="AS19" s="104">
        <f>AI36</f>
        <v>850</v>
      </c>
      <c r="AT19" s="146">
        <f t="shared" si="8"/>
        <v>5.2659620602921679E-3</v>
      </c>
      <c r="AW19" s="63" t="s">
        <v>197</v>
      </c>
      <c r="AX19" s="64"/>
      <c r="AY19" s="64"/>
      <c r="AZ19" s="64"/>
      <c r="BA19" s="65">
        <f>IF(ISERROR(BA16/BA15),0,BA16/BA15)</f>
        <v>132329.65861512578</v>
      </c>
      <c r="BB19" s="65">
        <f t="shared" ref="BB19:BC19" si="11">IF(ISERROR(BB16/BB15),0,BB16/BB15)</f>
        <v>143010.21417068131</v>
      </c>
      <c r="BC19" s="66">
        <f t="shared" si="11"/>
        <v>154315.76972623687</v>
      </c>
      <c r="BF19" s="123" t="s">
        <v>202</v>
      </c>
      <c r="BJ19" s="104">
        <f>Q37</f>
        <v>33000</v>
      </c>
      <c r="BK19" s="104"/>
      <c r="BL19" s="159"/>
      <c r="BO19" s="192" t="s">
        <v>213</v>
      </c>
      <c r="BP19" s="34"/>
      <c r="BQ19" s="34"/>
      <c r="BR19" s="119">
        <f>'Données à saisir'!D103</f>
        <v>8000</v>
      </c>
      <c r="BS19" s="119">
        <f>'Données à saisir'!D104</f>
        <v>8400</v>
      </c>
      <c r="BT19" s="119">
        <f>'Données à saisir'!D105</f>
        <v>8800</v>
      </c>
      <c r="BU19" s="119">
        <f>'Données à saisir'!D106</f>
        <v>9200</v>
      </c>
      <c r="BV19" s="209">
        <f>'Données à saisir'!D107</f>
        <v>10000</v>
      </c>
      <c r="BY19" s="210">
        <f>'Données à saisir'!D108</f>
        <v>11000</v>
      </c>
      <c r="BZ19" s="119">
        <f>'Données à saisir'!D109</f>
        <v>12000</v>
      </c>
      <c r="CA19" s="119">
        <f>'Données à saisir'!D110</f>
        <v>12400</v>
      </c>
      <c r="CB19" s="119">
        <f>'Données à saisir'!D111</f>
        <v>12800</v>
      </c>
      <c r="CC19" s="119">
        <f>'Données à saisir'!D112</f>
        <v>13200</v>
      </c>
      <c r="CD19" s="119">
        <f>'Données à saisir'!D113</f>
        <v>13600</v>
      </c>
      <c r="CE19" s="211">
        <f>'Données à saisir'!D114</f>
        <v>14000</v>
      </c>
      <c r="CF19" s="213">
        <f>SUM(BR19:CE19)</f>
        <v>133400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142</v>
      </c>
      <c r="X20" s="62"/>
      <c r="Y20" s="102">
        <f>IF(ISERROR((Y19-X19)/X19),"",(Y19-X19)/X19)</f>
        <v>0.05</v>
      </c>
      <c r="Z20" s="103">
        <f>IF(ISERROR((Z19-Y19)/Y19),"",(Z19-Y19)/Y19)</f>
        <v>4.7619047619047616E-2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61600</v>
      </c>
      <c r="AP20" s="145">
        <f t="shared" si="5"/>
        <v>0.46176911544227889</v>
      </c>
      <c r="AQ20" s="104">
        <f>SUM(AH37:AH40)</f>
        <v>66720</v>
      </c>
      <c r="AR20" s="149">
        <f t="shared" si="7"/>
        <v>0.45468175003407385</v>
      </c>
      <c r="AS20" s="104">
        <f>SUM(AI37:AI40)</f>
        <v>73540</v>
      </c>
      <c r="AT20" s="146">
        <f t="shared" si="8"/>
        <v>0.45559864695751295</v>
      </c>
      <c r="AW20" s="123" t="s">
        <v>181</v>
      </c>
      <c r="BA20" s="104">
        <f>BA11-BA19</f>
        <v>1070.3413848742202</v>
      </c>
      <c r="BB20" s="104">
        <f t="shared" ref="BB20:BC20" si="12">BB11-BB19</f>
        <v>3729.7858293186873</v>
      </c>
      <c r="BC20" s="120">
        <f t="shared" si="12"/>
        <v>7098.2302737631253</v>
      </c>
      <c r="BF20" s="123" t="s">
        <v>203</v>
      </c>
      <c r="BJ20" s="104">
        <f>Q40</f>
        <v>54600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14400</v>
      </c>
      <c r="Y21" s="57">
        <f>'Données à saisir'!C139</f>
        <v>15120</v>
      </c>
      <c r="Z21" s="53">
        <f>'Données à saisir'!D139</f>
        <v>15840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6898</v>
      </c>
      <c r="AP21" s="147">
        <f t="shared" si="5"/>
        <v>5.1709145427286357E-2</v>
      </c>
      <c r="AQ21" s="65">
        <f t="shared" ref="AQ21:AS21" si="14">AQ18-AQ19-AQ20</f>
        <v>8862.7999999999884</v>
      </c>
      <c r="AR21" s="148">
        <f t="shared" si="7"/>
        <v>6.0397982826768358E-2</v>
      </c>
      <c r="AS21" s="65">
        <f t="shared" si="14"/>
        <v>11338.079999999987</v>
      </c>
      <c r="AT21" s="150">
        <f t="shared" si="8"/>
        <v>7.0242234254773356E-2</v>
      </c>
      <c r="AW21" s="208" t="s">
        <v>182</v>
      </c>
      <c r="AX21" s="36"/>
      <c r="AY21" s="36"/>
      <c r="AZ21" s="36"/>
      <c r="BA21" s="156">
        <f>BA19/250</f>
        <v>529.31863446050306</v>
      </c>
      <c r="BB21" s="156">
        <f t="shared" ref="BB21:BC21" si="15">BB19/250</f>
        <v>572.04085668272523</v>
      </c>
      <c r="BC21" s="157">
        <f t="shared" si="15"/>
        <v>617.26307890494752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8000</v>
      </c>
      <c r="BS21" s="65">
        <f t="shared" ref="BS21:BV21" si="16">SUM(BS19:BS20)</f>
        <v>8400</v>
      </c>
      <c r="BT21" s="65">
        <f t="shared" si="16"/>
        <v>8800</v>
      </c>
      <c r="BU21" s="65">
        <f t="shared" si="16"/>
        <v>9200</v>
      </c>
      <c r="BV21" s="66">
        <f t="shared" si="16"/>
        <v>10000</v>
      </c>
      <c r="BY21" s="197">
        <f t="shared" ref="BY21:CE21" si="17">SUM(BY19:BY20)</f>
        <v>11000</v>
      </c>
      <c r="BZ21" s="65">
        <f t="shared" si="17"/>
        <v>12000</v>
      </c>
      <c r="CA21" s="65">
        <f t="shared" si="17"/>
        <v>12400</v>
      </c>
      <c r="CB21" s="65">
        <f t="shared" si="17"/>
        <v>12800</v>
      </c>
      <c r="CC21" s="65">
        <f t="shared" si="17"/>
        <v>13200</v>
      </c>
      <c r="CD21" s="65">
        <f t="shared" si="17"/>
        <v>13600</v>
      </c>
      <c r="CE21" s="131">
        <f t="shared" si="17"/>
        <v>14000</v>
      </c>
      <c r="CF21" s="200">
        <f t="shared" si="13"/>
        <v>133400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157</v>
      </c>
      <c r="AO22" s="104">
        <f>AG43</f>
        <v>4520</v>
      </c>
      <c r="AP22" s="145">
        <f t="shared" si="5"/>
        <v>3.3883058470764615E-2</v>
      </c>
      <c r="AQ22" s="104">
        <f>AH43</f>
        <v>4520</v>
      </c>
      <c r="AR22" s="149">
        <f t="shared" si="7"/>
        <v>3.0802780427967833E-2</v>
      </c>
      <c r="AS22" s="104">
        <f>AI43</f>
        <v>4520</v>
      </c>
      <c r="AT22" s="146">
        <f t="shared" si="8"/>
        <v>2.8002527661788939E-2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53100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53100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20500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158</v>
      </c>
      <c r="AM23" s="64"/>
      <c r="AN23" s="64"/>
      <c r="AO23" s="65">
        <f>AO21-AO22</f>
        <v>2378</v>
      </c>
      <c r="AP23" s="147">
        <f t="shared" si="5"/>
        <v>1.7826086956521738E-2</v>
      </c>
      <c r="AQ23" s="65">
        <f t="shared" ref="AQ23:AS23" si="18">AQ21-AQ22</f>
        <v>4342.7999999999884</v>
      </c>
      <c r="AR23" s="148">
        <f t="shared" si="7"/>
        <v>2.9595202398800521E-2</v>
      </c>
      <c r="AS23" s="65">
        <f t="shared" si="18"/>
        <v>6818.0799999999872</v>
      </c>
      <c r="AT23" s="150">
        <f t="shared" si="8"/>
        <v>4.223970659298442E-2</v>
      </c>
      <c r="AW23" s="4"/>
      <c r="BA23" s="99"/>
      <c r="BB23" s="99"/>
      <c r="BC23" s="99"/>
      <c r="BF23" s="123" t="s">
        <v>206</v>
      </c>
      <c r="BJ23" s="104">
        <f>AO44</f>
        <v>5175.0489275430282</v>
      </c>
      <c r="BK23" s="104">
        <f>AQ44</f>
        <v>6802.628927543019</v>
      </c>
      <c r="BL23" s="159">
        <f>AS44</f>
        <v>8864.1169275430184</v>
      </c>
      <c r="BO23" s="123" t="s">
        <v>70</v>
      </c>
      <c r="BR23" s="104">
        <f>Q23</f>
        <v>20500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1607.3542028905549</v>
      </c>
      <c r="AP24" s="145">
        <f t="shared" si="5"/>
        <v>1.2049131955701311E-2</v>
      </c>
      <c r="AQ24" s="104">
        <f>AH42</f>
        <v>1657.3542028905549</v>
      </c>
      <c r="AR24" s="149">
        <f t="shared" si="7"/>
        <v>1.1294495044913144E-2</v>
      </c>
      <c r="AS24" s="104">
        <f>AI42</f>
        <v>1707.3542028905549</v>
      </c>
      <c r="AT24" s="146">
        <f t="shared" si="8"/>
        <v>1.0577485242237693E-2</v>
      </c>
      <c r="BF24" s="63" t="s">
        <v>207</v>
      </c>
      <c r="BG24" s="64"/>
      <c r="BH24" s="64"/>
      <c r="BI24" s="64"/>
      <c r="BJ24" s="65">
        <f>SUM(BJ19:BJ23)</f>
        <v>92775.04892754303</v>
      </c>
      <c r="BK24" s="65">
        <f>SUM(BK19:BK23)</f>
        <v>6802.628927543019</v>
      </c>
      <c r="BL24" s="66">
        <f>SUM(BL19:BL23)</f>
        <v>8864.1169275430184</v>
      </c>
      <c r="BO24" s="63" t="s">
        <v>227</v>
      </c>
      <c r="BP24" s="64"/>
      <c r="BQ24" s="64"/>
      <c r="BR24" s="65">
        <f>SUM(BR22:BR23)</f>
        <v>73600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73600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159</v>
      </c>
      <c r="AM25" s="1"/>
      <c r="AN25" s="1"/>
      <c r="AO25" s="104">
        <f>AO24*-1</f>
        <v>-1607.3542028905549</v>
      </c>
      <c r="AP25" s="145">
        <f t="shared" si="5"/>
        <v>-1.2049131955701311E-2</v>
      </c>
      <c r="AQ25" s="104">
        <f t="shared" ref="AQ25:AS25" si="19">AQ24*-1</f>
        <v>-1657.3542028905549</v>
      </c>
      <c r="AR25" s="149">
        <f t="shared" si="7"/>
        <v>-1.1294495044913144E-2</v>
      </c>
      <c r="AS25" s="104">
        <f t="shared" si="19"/>
        <v>-1707.3542028905549</v>
      </c>
      <c r="AT25" s="146">
        <f t="shared" si="8"/>
        <v>-1.0577485242237693E-2</v>
      </c>
      <c r="BA25" s="90"/>
      <c r="BF25" s="123" t="s">
        <v>208</v>
      </c>
      <c r="BJ25" s="104">
        <f>BJ24-BJ18</f>
        <v>8398.3913932964497</v>
      </c>
      <c r="BK25" s="104">
        <f>BK24-BK18</f>
        <v>-895.03682588163792</v>
      </c>
      <c r="BL25" s="120">
        <f>BL24-BL18</f>
        <v>1176.6845987758952</v>
      </c>
      <c r="BO25" s="123" t="s">
        <v>261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770.64579710944508</v>
      </c>
      <c r="AP26" s="147">
        <f t="shared" si="5"/>
        <v>5.7769550008204282E-3</v>
      </c>
      <c r="AQ26" s="65">
        <f t="shared" ref="AQ26:AS26" si="21">AQ23+AQ25</f>
        <v>2685.4457971094334</v>
      </c>
      <c r="AR26" s="148">
        <f t="shared" si="7"/>
        <v>1.8300707353887374E-2</v>
      </c>
      <c r="AS26" s="65">
        <f t="shared" si="21"/>
        <v>5110.7257971094323</v>
      </c>
      <c r="AT26" s="150">
        <f t="shared" si="8"/>
        <v>3.1662221350746728E-2</v>
      </c>
      <c r="BF26" s="63" t="s">
        <v>262</v>
      </c>
      <c r="BG26" s="64"/>
      <c r="BH26" s="64"/>
      <c r="BI26" s="64"/>
      <c r="BJ26" s="65">
        <f>BJ25</f>
        <v>8398.3913932964497</v>
      </c>
      <c r="BK26" s="65">
        <f>BJ26+BK25</f>
        <v>7503.3545674148118</v>
      </c>
      <c r="BL26" s="66">
        <f>+BK26+BL25</f>
        <v>8680.039166190707</v>
      </c>
      <c r="BO26" s="123" t="s">
        <v>228</v>
      </c>
      <c r="BR26" s="104">
        <f>IF(ISERROR('Données à saisir'!$J$73/12),0,'Données à saisir'!$J$73/12)</f>
        <v>650</v>
      </c>
      <c r="BS26" s="104">
        <f>IF(ISERROR('Données à saisir'!$J$73/12),0,'Données à saisir'!$J$73/12)</f>
        <v>650</v>
      </c>
      <c r="BT26" s="104">
        <f>IF(ISERROR('Données à saisir'!$J$73/12),0,'Données à saisir'!$J$73/12)</f>
        <v>650</v>
      </c>
      <c r="BU26" s="104">
        <f>IF(ISERROR('Données à saisir'!$J$73/12),0,'Données à saisir'!$J$73/12)</f>
        <v>650</v>
      </c>
      <c r="BV26" s="120">
        <f>IF(ISERROR('Données à saisir'!$J$73/12),0,'Données à saisir'!$J$73/12)</f>
        <v>650</v>
      </c>
      <c r="BY26" s="196">
        <f>IF(ISERROR('Données à saisir'!$J$73/12),0,'Données à saisir'!$J$73/12)</f>
        <v>650</v>
      </c>
      <c r="BZ26" s="104">
        <f>IF(ISERROR('Données à saisir'!$J$73/12),0,'Données à saisir'!$J$73/12)</f>
        <v>650</v>
      </c>
      <c r="CA26" s="104">
        <f>IF(ISERROR('Données à saisir'!$J$73/12),0,'Données à saisir'!$J$73/12)</f>
        <v>650</v>
      </c>
      <c r="CB26" s="104">
        <f>IF(ISERROR('Données à saisir'!$J$73/12),0,'Données à saisir'!$J$73/12)</f>
        <v>650</v>
      </c>
      <c r="CC26" s="104">
        <f>IF(ISERROR('Données à saisir'!$J$73/12),0,'Données à saisir'!$J$73/12)</f>
        <v>650</v>
      </c>
      <c r="CD26" s="104">
        <f>IF(ISERROR('Données à saisir'!$J$73/12),0,'Données à saisir'!$J$73/12)</f>
        <v>650</v>
      </c>
      <c r="CE26" s="132">
        <f>IF(ISERROR('Données à saisir'!$J$73/12),0,'Données à saisir'!$J$73/12)</f>
        <v>650</v>
      </c>
      <c r="CF26" s="201">
        <f t="shared" si="20"/>
        <v>7800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655.0489275430283</v>
      </c>
      <c r="AP27" s="147">
        <f t="shared" si="5"/>
        <v>4.9104117506973636E-3</v>
      </c>
      <c r="AQ27" s="65">
        <f>IF(ISERROR(AQ26-AH45),AQ26,(AQ26-AH45))</f>
        <v>2282.6289275430186</v>
      </c>
      <c r="AR27" s="148">
        <f t="shared" si="7"/>
        <v>1.555560125080427E-2</v>
      </c>
      <c r="AS27" s="65">
        <f>IF(ISERROR(AS26-AI45),AS26,(AS26-AI45))</f>
        <v>4344.1169275430175</v>
      </c>
      <c r="AT27" s="150">
        <f t="shared" si="8"/>
        <v>2.6912888148134719E-2</v>
      </c>
      <c r="BO27" s="123" t="s">
        <v>229</v>
      </c>
      <c r="BR27" s="104">
        <f>BR19*'Données à saisir'!$D$123</f>
        <v>2240</v>
      </c>
      <c r="BS27" s="104">
        <f>BS19*'Données à saisir'!$D$123</f>
        <v>2352</v>
      </c>
      <c r="BT27" s="104">
        <f>BT19*'Données à saisir'!$D$123</f>
        <v>2464.0000000000005</v>
      </c>
      <c r="BU27" s="104">
        <f>BU19*'Données à saisir'!$D$123</f>
        <v>2576.0000000000005</v>
      </c>
      <c r="BV27" s="120">
        <f>BV19*'Données à saisir'!$D$123</f>
        <v>2800.0000000000005</v>
      </c>
      <c r="BY27" s="196">
        <f>BY19*'Données à saisir'!$D$123</f>
        <v>3080.0000000000005</v>
      </c>
      <c r="BZ27" s="104">
        <f>BZ19*'Données à saisir'!$D$123</f>
        <v>3360.0000000000005</v>
      </c>
      <c r="CA27" s="104">
        <f>CA19*'Données à saisir'!$D$123</f>
        <v>3472.0000000000005</v>
      </c>
      <c r="CB27" s="104">
        <f>CB19*'Données à saisir'!$D$123</f>
        <v>3584.0000000000005</v>
      </c>
      <c r="CC27" s="104">
        <f>CC19*'Données à saisir'!$D$123</f>
        <v>3696.0000000000005</v>
      </c>
      <c r="CD27" s="104">
        <f>CD19*'Données à saisir'!$D$123</f>
        <v>3808.0000000000005</v>
      </c>
      <c r="CE27" s="132">
        <f>CE19*'Données à saisir'!$D$123</f>
        <v>3920.0000000000005</v>
      </c>
      <c r="CF27" s="201">
        <f t="shared" si="20"/>
        <v>37352</v>
      </c>
    </row>
    <row r="28" spans="2:84" ht="15.1" customHeight="1" thickBot="1" x14ac:dyDescent="0.3">
      <c r="B28" s="26"/>
      <c r="C28" s="335" t="str">
        <f>IF(ISBLANK('Données à saisir'!B7),"",('Données à saisir'!B7))</f>
        <v>Restaurant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1800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5175.0489275430282</v>
      </c>
      <c r="AP28" s="145">
        <f t="shared" si="5"/>
        <v>3.8793470221461977E-2</v>
      </c>
      <c r="AQ28" s="104">
        <f t="shared" ref="AQ28:AS28" si="22">AQ27+AQ22</f>
        <v>6802.628927543019</v>
      </c>
      <c r="AR28" s="149">
        <f t="shared" si="7"/>
        <v>4.6358381678772105E-2</v>
      </c>
      <c r="AS28" s="104">
        <f t="shared" si="22"/>
        <v>8864.1169275430184</v>
      </c>
      <c r="AT28" s="151">
        <f t="shared" si="8"/>
        <v>5.4915415809923665E-2</v>
      </c>
      <c r="BF28" s="92" t="s">
        <v>258</v>
      </c>
      <c r="BI28" s="314">
        <f>Q31</f>
        <v>10000</v>
      </c>
      <c r="BJ28" s="314"/>
      <c r="BO28" s="123" t="s">
        <v>81</v>
      </c>
      <c r="BR28" s="104">
        <f>$AG$17/12</f>
        <v>2295.8333333333335</v>
      </c>
      <c r="BS28" s="104">
        <f t="shared" ref="BS28:CE28" si="23">$AG$17/12</f>
        <v>2295.8333333333335</v>
      </c>
      <c r="BT28" s="104">
        <f t="shared" si="23"/>
        <v>2295.8333333333335</v>
      </c>
      <c r="BU28" s="104">
        <f t="shared" si="23"/>
        <v>2295.8333333333335</v>
      </c>
      <c r="BV28" s="120">
        <f t="shared" si="23"/>
        <v>2295.8333333333335</v>
      </c>
      <c r="BY28" s="196">
        <f t="shared" si="23"/>
        <v>2295.8333333333335</v>
      </c>
      <c r="BZ28" s="104">
        <f t="shared" si="23"/>
        <v>2295.8333333333335</v>
      </c>
      <c r="CA28" s="104">
        <f t="shared" si="23"/>
        <v>2295.8333333333335</v>
      </c>
      <c r="CB28" s="104">
        <f t="shared" si="23"/>
        <v>2295.8333333333335</v>
      </c>
      <c r="CC28" s="104">
        <f t="shared" si="23"/>
        <v>2295.8333333333335</v>
      </c>
      <c r="CD28" s="104">
        <f t="shared" si="23"/>
        <v>2295.8333333333335</v>
      </c>
      <c r="CE28" s="132">
        <f t="shared" si="23"/>
        <v>2295.8333333333335</v>
      </c>
      <c r="CF28" s="201">
        <f t="shared" si="20"/>
        <v>27549.999999999996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13200</v>
      </c>
      <c r="AH29" s="62">
        <f>IF(ISBLANK('Données à saisir'!C88),0,'Données à saisir'!C88)</f>
        <v>13300</v>
      </c>
      <c r="AI29" s="54">
        <f>IF(ISBLANK('Données à saisir'!D88),0,'Données à saisir'!D88)</f>
        <v>13400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1666.6666666666667</v>
      </c>
      <c r="BS30" s="119">
        <f t="shared" si="24"/>
        <v>1666.6666666666667</v>
      </c>
      <c r="BT30" s="119">
        <f t="shared" si="24"/>
        <v>1666.6666666666667</v>
      </c>
      <c r="BU30" s="119">
        <f t="shared" si="24"/>
        <v>1666.6666666666667</v>
      </c>
      <c r="BV30" s="209">
        <f t="shared" si="24"/>
        <v>1666.6666666666667</v>
      </c>
      <c r="BY30" s="210">
        <f t="shared" si="25"/>
        <v>1666.6666666666667</v>
      </c>
      <c r="BZ30" s="119">
        <f t="shared" si="25"/>
        <v>1666.6666666666667</v>
      </c>
      <c r="CA30" s="119">
        <f t="shared" si="25"/>
        <v>1666.6666666666667</v>
      </c>
      <c r="CB30" s="119">
        <f t="shared" si="25"/>
        <v>1666.6666666666667</v>
      </c>
      <c r="CC30" s="119">
        <f t="shared" si="25"/>
        <v>1666.6666666666667</v>
      </c>
      <c r="CD30" s="119">
        <f t="shared" si="25"/>
        <v>1666.6666666666667</v>
      </c>
      <c r="CE30" s="211">
        <f t="shared" si="25"/>
        <v>1666.6666666666667</v>
      </c>
      <c r="CF30" s="213">
        <f t="shared" si="20"/>
        <v>20000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420</v>
      </c>
      <c r="Y31" s="110">
        <f>SUM(Y33:Y39)</f>
        <v>420</v>
      </c>
      <c r="Z31" s="111">
        <f>SUM(Z33:Z39)</f>
        <v>420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1200</v>
      </c>
      <c r="BS31" s="104">
        <f t="shared" si="24"/>
        <v>1200</v>
      </c>
      <c r="BT31" s="104">
        <f t="shared" si="24"/>
        <v>1200</v>
      </c>
      <c r="BU31" s="104">
        <f t="shared" si="24"/>
        <v>1200</v>
      </c>
      <c r="BV31" s="120">
        <f t="shared" si="24"/>
        <v>1200</v>
      </c>
      <c r="BY31" s="196">
        <f t="shared" si="25"/>
        <v>1200</v>
      </c>
      <c r="BZ31" s="104">
        <f t="shared" si="25"/>
        <v>1200</v>
      </c>
      <c r="CA31" s="104">
        <f t="shared" si="25"/>
        <v>1200</v>
      </c>
      <c r="CB31" s="104">
        <f t="shared" si="25"/>
        <v>1200</v>
      </c>
      <c r="CC31" s="104">
        <f t="shared" si="25"/>
        <v>1200</v>
      </c>
      <c r="CD31" s="104">
        <f t="shared" si="25"/>
        <v>1200</v>
      </c>
      <c r="CE31" s="132">
        <f t="shared" si="25"/>
        <v>1200</v>
      </c>
      <c r="CF31" s="201">
        <f t="shared" si="20"/>
        <v>14400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87600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1333.3333333333333</v>
      </c>
      <c r="BS32" s="104">
        <f t="shared" si="24"/>
        <v>1333.3333333333333</v>
      </c>
      <c r="BT32" s="104">
        <f t="shared" si="24"/>
        <v>1333.3333333333333</v>
      </c>
      <c r="BU32" s="104">
        <f t="shared" si="24"/>
        <v>1333.3333333333333</v>
      </c>
      <c r="BV32" s="120">
        <f t="shared" si="24"/>
        <v>1333.3333333333333</v>
      </c>
      <c r="BY32" s="196">
        <f t="shared" si="25"/>
        <v>1333.3333333333333</v>
      </c>
      <c r="BZ32" s="104">
        <f t="shared" si="25"/>
        <v>1333.3333333333333</v>
      </c>
      <c r="CA32" s="104">
        <f t="shared" si="25"/>
        <v>1333.3333333333333</v>
      </c>
      <c r="CB32" s="104">
        <f t="shared" si="25"/>
        <v>1333.3333333333333</v>
      </c>
      <c r="CC32" s="104">
        <f t="shared" si="25"/>
        <v>1333.3333333333333</v>
      </c>
      <c r="CD32" s="104">
        <f t="shared" si="25"/>
        <v>1333.3333333333333</v>
      </c>
      <c r="CE32" s="132">
        <f t="shared" si="25"/>
        <v>1333.3333333333333</v>
      </c>
      <c r="CF32" s="201">
        <f t="shared" si="20"/>
        <v>16000.000000000002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933.33333333333337</v>
      </c>
      <c r="BS33" s="104">
        <f t="shared" si="24"/>
        <v>933.33333333333337</v>
      </c>
      <c r="BT33" s="104">
        <f t="shared" si="24"/>
        <v>933.33333333333337</v>
      </c>
      <c r="BU33" s="104">
        <f t="shared" si="24"/>
        <v>933.33333333333337</v>
      </c>
      <c r="BV33" s="120">
        <f t="shared" si="24"/>
        <v>933.33333333333337</v>
      </c>
      <c r="BY33" s="196">
        <f t="shared" si="25"/>
        <v>933.33333333333337</v>
      </c>
      <c r="BZ33" s="104">
        <f t="shared" si="25"/>
        <v>933.33333333333337</v>
      </c>
      <c r="CA33" s="104">
        <f t="shared" si="25"/>
        <v>933.33333333333337</v>
      </c>
      <c r="CB33" s="104">
        <f t="shared" si="25"/>
        <v>933.33333333333337</v>
      </c>
      <c r="CC33" s="104">
        <f t="shared" si="25"/>
        <v>933.33333333333337</v>
      </c>
      <c r="CD33" s="104">
        <f t="shared" si="25"/>
        <v>933.33333333333337</v>
      </c>
      <c r="CE33" s="132">
        <f t="shared" si="25"/>
        <v>933.33333333333337</v>
      </c>
      <c r="CF33" s="201">
        <f t="shared" si="20"/>
        <v>11200.000000000002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5133.333333333333</v>
      </c>
      <c r="BS34" s="65">
        <f t="shared" ref="BS34:CE34" si="27">SUM(BS30:BS33)</f>
        <v>5133.333333333333</v>
      </c>
      <c r="BT34" s="65">
        <f t="shared" si="27"/>
        <v>5133.333333333333</v>
      </c>
      <c r="BU34" s="65">
        <f t="shared" si="27"/>
        <v>5133.333333333333</v>
      </c>
      <c r="BV34" s="66">
        <f t="shared" si="27"/>
        <v>5133.333333333333</v>
      </c>
      <c r="BY34" s="197">
        <f t="shared" si="27"/>
        <v>5133.333333333333</v>
      </c>
      <c r="BZ34" s="65">
        <f t="shared" si="27"/>
        <v>5133.333333333333</v>
      </c>
      <c r="CA34" s="65">
        <f t="shared" si="27"/>
        <v>5133.333333333333</v>
      </c>
      <c r="CB34" s="65">
        <f t="shared" si="27"/>
        <v>5133.333333333333</v>
      </c>
      <c r="CC34" s="65">
        <f t="shared" si="27"/>
        <v>5133.333333333333</v>
      </c>
      <c r="CD34" s="65">
        <f t="shared" si="27"/>
        <v>5133.333333333333</v>
      </c>
      <c r="CE34" s="131">
        <f t="shared" si="27"/>
        <v>5133.333333333333</v>
      </c>
      <c r="CF34" s="200">
        <f t="shared" si="20"/>
        <v>61600.000000000007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68498</v>
      </c>
      <c r="AH35" s="65">
        <f>AH16-AH17</f>
        <v>76382.799999999988</v>
      </c>
      <c r="AI35" s="66">
        <f>AI16-AI17</f>
        <v>85728.079999999987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133.94618357421291</v>
      </c>
      <c r="BS35" s="104">
        <f>$AG42/12</f>
        <v>133.94618357421291</v>
      </c>
      <c r="BT35" s="104">
        <f>$AG42/12</f>
        <v>133.94618357421291</v>
      </c>
      <c r="BU35" s="104">
        <f>$AG42/12</f>
        <v>133.94618357421291</v>
      </c>
      <c r="BV35" s="120">
        <f>$AG42/12</f>
        <v>133.94618357421291</v>
      </c>
      <c r="BY35" s="196">
        <f t="shared" ref="BY35:CE35" si="28">$AG42/12</f>
        <v>133.94618357421291</v>
      </c>
      <c r="BZ35" s="104">
        <f t="shared" si="28"/>
        <v>133.94618357421291</v>
      </c>
      <c r="CA35" s="104">
        <f t="shared" si="28"/>
        <v>133.94618357421291</v>
      </c>
      <c r="CB35" s="104">
        <f t="shared" si="28"/>
        <v>133.94618357421291</v>
      </c>
      <c r="CC35" s="104">
        <f t="shared" si="28"/>
        <v>133.94618357421291</v>
      </c>
      <c r="CD35" s="104">
        <f t="shared" si="28"/>
        <v>133.94618357421291</v>
      </c>
      <c r="CE35" s="132">
        <f t="shared" si="28"/>
        <v>133.94618357421291</v>
      </c>
      <c r="CF35" s="201">
        <f t="shared" si="20"/>
        <v>1607.3542028905549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88053.112850240868</v>
      </c>
      <c r="BS36" s="65">
        <f>SUM(BS24:BS29,BS34:BS35)</f>
        <v>10565.112850240881</v>
      </c>
      <c r="BT36" s="65">
        <f>SUM(BT24:BT29,BT34:BT35)</f>
        <v>10677.112850240881</v>
      </c>
      <c r="BU36" s="65">
        <f>SUM(BU24:BU29,BU34:BU35)</f>
        <v>10789.112850240881</v>
      </c>
      <c r="BV36" s="66">
        <f>SUM(BV24:BV29,BV34:BV35)</f>
        <v>11013.112850240881</v>
      </c>
      <c r="BY36" s="197">
        <f t="shared" ref="BY36:CE36" si="29">SUM(BY24:BY29,BY34:BY35)</f>
        <v>11293.112850240881</v>
      </c>
      <c r="BZ36" s="65">
        <f t="shared" si="29"/>
        <v>11573.112850240881</v>
      </c>
      <c r="CA36" s="65">
        <f t="shared" si="29"/>
        <v>11685.112850240881</v>
      </c>
      <c r="CB36" s="65">
        <f t="shared" si="29"/>
        <v>11797.112850240881</v>
      </c>
      <c r="CC36" s="65">
        <f t="shared" si="29"/>
        <v>11909.112850240881</v>
      </c>
      <c r="CD36" s="65">
        <f t="shared" si="29"/>
        <v>12021.112850240881</v>
      </c>
      <c r="CE36" s="131">
        <f t="shared" si="29"/>
        <v>12133.112850240881</v>
      </c>
      <c r="CF36" s="200">
        <f t="shared" si="20"/>
        <v>213509.35420289048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33000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20000</v>
      </c>
      <c r="AH37" s="57">
        <f>'Données à saisir'!C133</f>
        <v>21000</v>
      </c>
      <c r="AI37" s="53">
        <f>'Données à saisir'!D133</f>
        <v>22000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95600</v>
      </c>
      <c r="BS37" s="65">
        <f>SUM(BS15:BS20)</f>
        <v>8400</v>
      </c>
      <c r="BT37" s="65">
        <f>SUM(BT15:BT20)</f>
        <v>8800</v>
      </c>
      <c r="BU37" s="65">
        <f>SUM(BU15:BU20)</f>
        <v>9200</v>
      </c>
      <c r="BV37" s="66">
        <f>SUM(BV15:BV20)</f>
        <v>10000</v>
      </c>
      <c r="BY37" s="197">
        <f t="shared" ref="BY37:CE37" si="30">SUM(BY15:BY20)</f>
        <v>11000</v>
      </c>
      <c r="BZ37" s="65">
        <f t="shared" si="30"/>
        <v>12000</v>
      </c>
      <c r="CA37" s="65">
        <f t="shared" si="30"/>
        <v>12400</v>
      </c>
      <c r="CB37" s="65">
        <f t="shared" si="30"/>
        <v>12800</v>
      </c>
      <c r="CC37" s="65">
        <f t="shared" si="30"/>
        <v>13200</v>
      </c>
      <c r="CD37" s="65">
        <f t="shared" si="30"/>
        <v>13600</v>
      </c>
      <c r="CE37" s="131">
        <f t="shared" si="30"/>
        <v>14000</v>
      </c>
      <c r="CF37" s="200">
        <f t="shared" ref="CF37" si="31">SUM(BR37:CE37)</f>
        <v>221000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33000</v>
      </c>
      <c r="T38" s="44"/>
      <c r="X38" s="113"/>
      <c r="Y38" s="113"/>
      <c r="Z38" s="236"/>
      <c r="AC38" s="123" t="s">
        <v>24</v>
      </c>
      <c r="AG38" s="104">
        <f>'Données à saisir'!B139</f>
        <v>14400</v>
      </c>
      <c r="AH38" s="104">
        <f>'Données à saisir'!C139</f>
        <v>15120</v>
      </c>
      <c r="AI38" s="120">
        <f>'Données à saisir'!D139</f>
        <v>15840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1023.3424657534247</v>
      </c>
      <c r="BB38" s="177">
        <f>BB12/365*$AZ38</f>
        <v>1125.6767123287673</v>
      </c>
      <c r="BC38" s="178">
        <f>BC12/365*$AZ38</f>
        <v>1238.2443835616439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7546.8871497591317</v>
      </c>
      <c r="BT38" s="104">
        <f>BS40</f>
        <v>5381.7742995182507</v>
      </c>
      <c r="BU38" s="104">
        <f>BT40</f>
        <v>3504.6614492773697</v>
      </c>
      <c r="BV38" s="159">
        <f>BU40</f>
        <v>1915.5485990364887</v>
      </c>
      <c r="BY38" s="196">
        <f>BV40</f>
        <v>902.43574879560765</v>
      </c>
      <c r="BZ38" s="104">
        <f t="shared" ref="BZ38:CE38" si="32">BY40</f>
        <v>609.32289855472663</v>
      </c>
      <c r="CA38" s="104">
        <f t="shared" si="32"/>
        <v>1036.2100483138456</v>
      </c>
      <c r="CB38" s="104">
        <f t="shared" si="32"/>
        <v>1751.0971980729646</v>
      </c>
      <c r="CC38" s="104">
        <f t="shared" si="32"/>
        <v>2753.9843478320836</v>
      </c>
      <c r="CD38" s="104">
        <f t="shared" si="32"/>
        <v>4044.8714975912026</v>
      </c>
      <c r="CE38" s="132">
        <f t="shared" si="32"/>
        <v>5623.7586473503216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16000</v>
      </c>
      <c r="AH39" s="57">
        <f>'Données à saisir'!C134</f>
        <v>18000</v>
      </c>
      <c r="AI39" s="53">
        <f>'Données à saisir'!D134</f>
        <v>21000</v>
      </c>
      <c r="AW39" s="166" t="s">
        <v>191</v>
      </c>
      <c r="AX39" s="165"/>
      <c r="AY39" s="64"/>
      <c r="AZ39" s="167"/>
      <c r="BA39" s="173">
        <f>BA36-BA38</f>
        <v>-1023.3424657534247</v>
      </c>
      <c r="BB39" s="174">
        <f>BB36-BB38</f>
        <v>-1125.6767123287673</v>
      </c>
      <c r="BC39" s="175">
        <f>BC36-BC38</f>
        <v>-1238.2443835616439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7546.8871497591317</v>
      </c>
      <c r="BS39" s="57">
        <f t="shared" ref="BS39:CE39" si="33">BS37-BS36</f>
        <v>-2165.112850240881</v>
      </c>
      <c r="BT39" s="57">
        <f t="shared" si="33"/>
        <v>-1877.112850240881</v>
      </c>
      <c r="BU39" s="57">
        <f t="shared" si="33"/>
        <v>-1589.112850240881</v>
      </c>
      <c r="BV39" s="68">
        <f t="shared" si="33"/>
        <v>-1013.112850240881</v>
      </c>
      <c r="BW39" s="1"/>
      <c r="BX39" s="1"/>
      <c r="BY39" s="215">
        <f t="shared" si="33"/>
        <v>-293.11285024088102</v>
      </c>
      <c r="BZ39" s="57">
        <f t="shared" si="33"/>
        <v>426.88714975911898</v>
      </c>
      <c r="CA39" s="57">
        <f t="shared" si="33"/>
        <v>714.88714975911898</v>
      </c>
      <c r="CB39" s="57">
        <f t="shared" si="33"/>
        <v>1002.887149759119</v>
      </c>
      <c r="CC39" s="57">
        <f t="shared" si="33"/>
        <v>1290.887149759119</v>
      </c>
      <c r="CD39" s="57">
        <f t="shared" si="33"/>
        <v>1578.887149759119</v>
      </c>
      <c r="CE39" s="74">
        <f t="shared" si="33"/>
        <v>1866.887149759119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54600</v>
      </c>
      <c r="T40" s="107" t="s">
        <v>150</v>
      </c>
      <c r="U40" s="34"/>
      <c r="V40" s="34"/>
      <c r="W40" s="34"/>
      <c r="X40" s="110">
        <f>SUM(X42:X46)</f>
        <v>4100</v>
      </c>
      <c r="Y40" s="110">
        <f>SUM(Y42:Y46)</f>
        <v>4100</v>
      </c>
      <c r="Z40" s="237">
        <f>SUM(Z42:Z46)</f>
        <v>4100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11200</v>
      </c>
      <c r="AH40" s="104">
        <f>IF('Données à saisir'!C136="Oui",'Données à saisir'!H147,'Données à saisir'!C147)</f>
        <v>12600</v>
      </c>
      <c r="AI40" s="120">
        <f>IF('Données à saisir'!C136="Oui",'Données à saisir'!I147,'Données à saisir'!D147)</f>
        <v>14699.999999999998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7546.8871497591317</v>
      </c>
      <c r="BS40" s="65">
        <f>BS38+BS39</f>
        <v>5381.7742995182507</v>
      </c>
      <c r="BT40" s="65">
        <f>BT38+BT39</f>
        <v>3504.6614492773697</v>
      </c>
      <c r="BU40" s="65">
        <f>BU38+BU39</f>
        <v>1915.5485990364887</v>
      </c>
      <c r="BV40" s="66">
        <f t="shared" ref="BV40:CE40" si="34">BV38+BV39</f>
        <v>902.43574879560765</v>
      </c>
      <c r="BY40" s="197">
        <f t="shared" si="34"/>
        <v>609.32289855472663</v>
      </c>
      <c r="BZ40" s="65">
        <f t="shared" si="34"/>
        <v>1036.2100483138456</v>
      </c>
      <c r="CA40" s="65">
        <f t="shared" si="34"/>
        <v>1751.0971980729646</v>
      </c>
      <c r="CB40" s="65">
        <f t="shared" si="34"/>
        <v>2753.9843478320836</v>
      </c>
      <c r="CC40" s="65">
        <f t="shared" si="34"/>
        <v>4044.8714975912026</v>
      </c>
      <c r="CD40" s="65">
        <f t="shared" si="34"/>
        <v>5623.7586473503216</v>
      </c>
      <c r="CE40" s="131">
        <f t="shared" si="34"/>
        <v>7490.6457971094405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54600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6898</v>
      </c>
      <c r="AH41" s="65">
        <f t="shared" ref="AH41:AI41" si="35">AH35-SUM(AH36:AH40)</f>
        <v>8862.7999999999884</v>
      </c>
      <c r="AI41" s="66">
        <f t="shared" si="35"/>
        <v>11338.079999999987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1607.3542028905549</v>
      </c>
      <c r="AH42" s="57">
        <f>'Données à saisir'!C90+SUM('Données à saisir'!H70:H72)</f>
        <v>1657.3542028905549</v>
      </c>
      <c r="AI42" s="53">
        <f>'Données à saisir'!D90+SUM('Données à saisir'!I70:I72)</f>
        <v>1707.3542028905549</v>
      </c>
      <c r="AL42" s="63" t="s">
        <v>162</v>
      </c>
      <c r="AM42" s="64"/>
      <c r="AN42" s="64"/>
      <c r="AO42" s="131">
        <f>AO27</f>
        <v>655.0489275430283</v>
      </c>
      <c r="AP42" s="136"/>
      <c r="AQ42" s="131">
        <f>AQ27</f>
        <v>2282.6289275430186</v>
      </c>
      <c r="AR42" s="136"/>
      <c r="AS42" s="128">
        <f>AS27</f>
        <v>4344.1169275430175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4520</v>
      </c>
      <c r="AH43" s="57">
        <f>'Données à saisir'!D39</f>
        <v>4520</v>
      </c>
      <c r="AI43" s="53">
        <f>'Données à saisir'!E39</f>
        <v>4520</v>
      </c>
      <c r="AL43" s="122" t="s">
        <v>163</v>
      </c>
      <c r="AM43" s="1"/>
      <c r="AN43" s="1"/>
      <c r="AO43" s="132">
        <f>AO22</f>
        <v>4520</v>
      </c>
      <c r="AP43" s="137"/>
      <c r="AQ43" s="132">
        <f>AQ22</f>
        <v>4520</v>
      </c>
      <c r="AR43" s="137"/>
      <c r="AS43" s="127">
        <f>AS22</f>
        <v>4520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770.64579710944508</v>
      </c>
      <c r="AH44" s="65">
        <f t="shared" ref="AH44:AI44" si="37">AH41-AH42-AH43</f>
        <v>2685.4457971094334</v>
      </c>
      <c r="AI44" s="66">
        <f t="shared" si="37"/>
        <v>5110.7257971094332</v>
      </c>
      <c r="AL44" s="63" t="s">
        <v>160</v>
      </c>
      <c r="AM44" s="64"/>
      <c r="AN44" s="64"/>
      <c r="AO44" s="131">
        <f>AO42+AO43</f>
        <v>5175.0489275430282</v>
      </c>
      <c r="AP44" s="136"/>
      <c r="AQ44" s="131">
        <f t="shared" ref="AQ44:AS44" si="38">AQ42+AQ43</f>
        <v>6802.628927543019</v>
      </c>
      <c r="AR44" s="136"/>
      <c r="AS44" s="128">
        <f t="shared" si="38"/>
        <v>8864.1169275430184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115.59686956641676</v>
      </c>
      <c r="AH45" s="57">
        <f>IF(AC45="Impôt sur les sociétés",IF(AH44&lt;0,0,IF(AH44&gt;38120,38120*0.15+(AH44-38120)*25%,AH44*0.15)),"")</f>
        <v>402.81686956641499</v>
      </c>
      <c r="AI45" s="53">
        <f>+IF(AC45="Impôt sur les sociétés",IF(AI44&lt;0,0,IF(AI44&gt;38120,38120*0.15+(AI44-38120)*25%,AI44*0.15)),"")</f>
        <v>766.60886956641491</v>
      </c>
      <c r="AL45" s="123" t="s">
        <v>164</v>
      </c>
      <c r="AO45" s="132">
        <f>IF(ISERROR(SUM('Données à saisir'!J70:J72)),0,SUM('Données à saisir'!J70:J72))</f>
        <v>7800</v>
      </c>
      <c r="AP45" s="137"/>
      <c r="AQ45" s="132">
        <f>SUM('Données à saisir'!K70:K72)</f>
        <v>7800</v>
      </c>
      <c r="AR45" s="137"/>
      <c r="AS45" s="127">
        <f>SUM('Données à saisir'!L70:L72)</f>
        <v>7800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-2624.9510724569718</v>
      </c>
      <c r="AP46" s="138"/>
      <c r="AQ46" s="133">
        <f>AQ44-AQ45</f>
        <v>-997.37107245698098</v>
      </c>
      <c r="AR46" s="138"/>
      <c r="AS46" s="129">
        <f>AS44-AS45</f>
        <v>1064.1169275430184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44976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655.0489275430283</v>
      </c>
      <c r="AH47" s="65">
        <f t="shared" ref="AH47:AI47" si="39">AH44-SUM(AH45)</f>
        <v>2282.6289275430186</v>
      </c>
      <c r="AI47" s="66">
        <f t="shared" si="39"/>
        <v>4344.1169275430184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87600</v>
      </c>
      <c r="T48" s="109" t="s">
        <v>151</v>
      </c>
      <c r="U48" s="108"/>
      <c r="V48" s="108"/>
      <c r="W48" s="108"/>
      <c r="X48" s="112">
        <f>SUM(X31,X40)</f>
        <v>4520</v>
      </c>
      <c r="Y48" s="112">
        <f>SUM(Y31,Y40)</f>
        <v>4520</v>
      </c>
      <c r="Z48" s="118">
        <f>SUM(Z31,Z40)</f>
        <v>4520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27970.645797109442</v>
      </c>
      <c r="AH52" s="90">
        <f>AH35-SUM(AH36:AH38,AH42:AH43)</f>
        <v>33285.445797109431</v>
      </c>
      <c r="AI52" s="90">
        <f>AI35-SUM(AI36:AI38,AI42:AI43)</f>
        <v>40810.72579710943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2023-02-19T17:48:48Z</dcterms:modified>
</cp:coreProperties>
</file>