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4C445D04-338B-4653-B353-08E83526E730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20" yWindow="-120" windowWidth="29040" windowHeight="15720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C28" i="2" l="1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53" i="1"/>
  <c r="G53" i="1" s="1"/>
  <c r="F40" i="1"/>
  <c r="X40" i="2"/>
  <c r="AH14" i="2"/>
  <c r="AH13" i="2" s="1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0" i="2" l="1"/>
  <c r="AQ14" i="2" s="1"/>
  <c r="C140" i="1"/>
  <c r="H140" i="1"/>
  <c r="AO16" i="2"/>
  <c r="AG16" i="2"/>
  <c r="AG35" i="2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AH40" i="2" s="1"/>
  <c r="AQ20" i="2" s="1"/>
  <c r="C141" i="1"/>
  <c r="AP17" i="2"/>
  <c r="AO13" i="2"/>
  <c r="I141" i="1"/>
  <c r="D141" i="1"/>
  <c r="X48" i="2"/>
  <c r="BA11" i="2"/>
  <c r="BA36" i="2" s="1"/>
  <c r="C147" i="1"/>
  <c r="AI14" i="2"/>
  <c r="AS15" i="2" s="1"/>
  <c r="AQ15" i="2"/>
  <c r="BR24" i="2"/>
  <c r="CF24" i="2" s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BB11" i="2"/>
  <c r="BB36" i="2" s="1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BA12" i="2"/>
  <c r="AP15" i="2"/>
  <c r="BB12" i="2"/>
  <c r="H44" i="1"/>
  <c r="I44" i="1" s="1"/>
  <c r="J44" i="1" s="1"/>
  <c r="AG52" i="2"/>
  <c r="B142" i="1" s="1"/>
  <c r="AO22" i="2"/>
  <c r="AS22" i="2"/>
  <c r="AH43" i="2"/>
  <c r="F39" i="1"/>
  <c r="G39" i="1" s="1"/>
  <c r="AQ13" i="2" l="1"/>
  <c r="AI13" i="2"/>
  <c r="AI16" i="2" s="1"/>
  <c r="AI35" i="2" s="1"/>
  <c r="AI52" i="2" s="1"/>
  <c r="CA33" i="2"/>
  <c r="CA34" i="2" s="1"/>
  <c r="CA36" i="2" s="1"/>
  <c r="CA39" i="2" s="1"/>
  <c r="CE33" i="2"/>
  <c r="CE34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H41" i="2"/>
  <c r="AH44" i="2" s="1"/>
  <c r="AH45" i="2" s="1"/>
  <c r="AI40" i="2"/>
  <c r="Z17" i="2" s="1"/>
  <c r="Y17" i="2"/>
  <c r="J40" i="1"/>
  <c r="K40" i="1" s="1"/>
  <c r="L40" i="1" s="1"/>
  <c r="Z40" i="2"/>
  <c r="CE36" i="2"/>
  <c r="CE39" i="2" s="1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P18" i="2"/>
  <c r="AS43" i="2"/>
  <c r="AO43" i="2"/>
  <c r="AP22" i="2"/>
  <c r="H39" i="1"/>
  <c r="K44" i="1"/>
  <c r="L44" i="1" s="1"/>
  <c r="AH52" i="2"/>
  <c r="AQ22" i="2"/>
  <c r="AT17" i="2" l="1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M44" i="1"/>
  <c r="I39" i="1"/>
  <c r="J39" i="1" s="1"/>
  <c r="K39" i="1" s="1"/>
  <c r="BR41" i="2"/>
  <c r="BS38" i="2"/>
  <c r="BS40" i="2" s="1"/>
  <c r="AQ43" i="2"/>
  <c r="AR22" i="2"/>
  <c r="BB16" i="2"/>
  <c r="AH47" i="2"/>
  <c r="BB18" i="2"/>
  <c r="AS18" i="2" l="1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<sst xmlns="http://schemas.openxmlformats.org/spreadsheetml/2006/main" count="451" uniqueCount="302">
  <si>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</si>
  <si>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</si>
  <si>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</si>
  <si>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</si>
  <si>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</si>
  <si>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</si>
  <si>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</si>
  <si>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</si>
  <si>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</si>
  <si>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</si>
  <si>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</si>
  <si>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</si>
  <si>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</si>
  <si>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</si>
  <si>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</si>
  <si>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</si>
  <si>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</si>
  <si>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</si>
  <si>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</si>
  <si>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</si>
  <si>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</si>
  <si>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</si>
  <si>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</si>
  <si>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</si>
  <si>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</si>
  <si>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</si>
  <si>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</si>
  <si>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</si>
  <si>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</si>
  <si>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</si>
  <si>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</si>
  <si>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</si>
  <si>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</si>
  <si>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</si>
  <si>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</si>
  <si>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</si>
  <si>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</si>
  <si>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</si>
  <si>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</si>
  <si>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</si>
  <si>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</si>
  <si>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</si>
  <si>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</si>
  <si>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</si>
  <si>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</si>
  <si>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</si>
  <si>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</si>
  <si>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</si>
  <si>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</si>
  <si>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</si>
  <si>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</si>
  <si>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</si>
  <si>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</si>
  <si>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</si>
  <si>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</si>
  <si>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</si>
  <si>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</si>
  <si>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</si>
  <si>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</si>
  <si>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</si>
  <si>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</si>
  <si>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</si>
  <si>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</si>
  <si>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</si>
  <si>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</si>
  <si>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</si>
  <si>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</si>
  <si>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</si>
  <si>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</si>
  <si>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</si>
  <si>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</si>
  <si>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</si>
  <si>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</si>
  <si>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</si>
  <si>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</si>
  <si>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</si>
  <si>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</si>
  <si>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</si>
  <si>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</si>
  <si>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</si>
  <si>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</si>
  <si>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</si>
  <si>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</si>
  <si>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</si>
  <si>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</si>
  <si>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</si>
  <si>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</si>
  <si>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</si>
  <si>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</si>
  <si>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</si>
  <si>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</si>
  <si>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</si>
  <si>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</si>
  <si>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</si>
  <si>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</si>
  <si>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</si>
  <si>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</si>
  <si>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</si>
  <si>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</si>
  <si>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</si>
  <si>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</si>
  <si>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</si>
  <si>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</si>
  <si>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</si>
  <si>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</si>
  <si>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</si>
  <si>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</si>
  <si>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</si>
  <si>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</si>
  <si>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</si>
  <si>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</si>
  <si>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</si>
  <si>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</si>
  <si>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</si>
  <si>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</si>
  <si>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</si>
  <si>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</si>
  <si>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</si>
  <si>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</si>
  <si>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</si>
  <si>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</si>
  <si>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</si>
  <si>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</si>
  <si>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</si>
  <si>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</si>
  <si>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</si>
  <si>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</si>
  <si>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</si>
  <si>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</si>
  <si>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</si>
  <si>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</si>
  <si>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</si>
  <si>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</si>
  <si>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</si>
  <si>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</si>
  <si>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</si>
  <si>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</si>
  <si>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</si>
  <si>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</si>
  <si>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</si>
  <si>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</si>
  <si>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</si>
  <si>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</si>
  <si>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</si>
  <si>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</si>
  <si>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</si>
  <si>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</si>
  <si>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</si>
  <si>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</si>
  <si>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</si>
  <si>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</si>
  <si>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</si>
  <si>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</si>
  <si>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</si>
  <si>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</si>
  <si>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</si>
  <si>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</si>
  <si>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</si>
  <si>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</si>
  <si>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</si>
  <si>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</si>
  <si>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</si>
  <si>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</si>
  <si>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</si>
  <si>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</si>
  <si>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</si>
  <si>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</si>
  <si>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</si>
  <si>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</si>
  <si>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</si>
  <si>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</si>
  <si>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</si>
  <si>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</si>
  <si>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</si>
  <si>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</si>
  <si>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</si>
  <si>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</si>
  <si>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</si>
  <si>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</si>
  <si>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</si>
  <si>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</si>
  <si>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</si>
  <si>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</si>
  <si>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</si>
  <si>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</si>
  <si>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</si>
  <si>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</si>
  <si>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</si>
  <si>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</si>
  <si>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</si>
  <si>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</si>
  <si>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</si>
  <si>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</si>
  <si>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</si>
  <si>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</si>
  <si>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</si>
  <si>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</si>
  <si>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</si>
  <si>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</si>
  <si>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</si>
  <si>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</si>
  <si>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</si>
  <si>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</si>
  <si>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</si>
  <si>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</si>
  <si>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</si>
  <si>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</si>
  <si>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</si>
  <si>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</si>
  <si>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</si>
  <si>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</si>
  <si>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</si>
  <si>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</si>
  <si>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</si>
  <si>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</si>
  <si>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</si>
  <si>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</si>
  <si>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</si>
  <si>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</si>
  <si>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</si>
  <si>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</si>
  <si>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</si>
  <si>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</si>
  <si>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</si>
  <si>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</si>
  <si>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</si>
  <si>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</si>
  <si>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</si>
  <si>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</si>
  <si>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</si>
  <si>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</si>
  <si>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</si>
  <si>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</si>
  <si>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</si>
  <si>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</si>
  <si>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</si>
  <si>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</si>
  <si>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</si>
  <si>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</si>
  <si>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</si>
  <si>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</si>
  <si>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</si>
  <si>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</si>
  <si>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</si>
  <si>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</si>
  <si>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</si>
  <si>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</si>
  <si>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</si>
  <si>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</si>
  <si>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</si>
  <si>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</si>
  <si>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</si>
  <si>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</si>
  <si>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</si>
  <si>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</si>
  <si>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</si>
  <si>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</si>
  <si>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</si>
  <si>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</si>
  <si>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</si>
  <si>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</si>
  <si>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</si>
  <si>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</si>
  <si>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</si>
  <si>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</si>
  <si>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</si>
  <si>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</si>
  <si>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</si>
  <si>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</si>
  <si>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</si>
  <si>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</si>
  <si>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</si>
  <si>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</si>
  <si>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</si>
  <si>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</si>
  <si>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</si>
  <si>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</si>
  <si>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</si>
  <si>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</si>
  <si>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</si>
  <si>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</si>
  <si>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</si>
  <si>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</si>
  <si>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</si>
  <si>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</si>
  <si>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</si>
  <si>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</si>
  <si>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</si>
  <si>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</si>
  <si>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</si>
  <si>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</si>
  <si>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</si>
  <si>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</si>
  <si>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</si>
  <si>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</si>
  <si>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</si>
  <si>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</si>
  <si>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</si>
  <si>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</si>
  <si>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</si>
  <si>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Restaurant</t>
  </si>
  <si>
    <t>Prêt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</si>
</sst>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x14ac:dyDescent="0.25"/>
    <row r="3" spans="1:14" ht="21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" customHeight="1" x14ac:dyDescent="0.25">
      <c r="G5" s="232"/>
      <c r="H5" s="291"/>
      <c r="I5" s="291"/>
      <c r="J5" t="s">
        <v>109</v>
      </c>
      <c r="L5" t="s">
        <v>117</v>
      </c>
    </row>
    <row r="6" spans="1:14" ht="15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" customHeight="1" x14ac:dyDescent="0.25">
      <c r="A7" s="275" t="s">
        <v>264</v>
      </c>
      <c r="B7" s="289" t="s">
        <v>300</v>
      </c>
      <c r="C7" s="289"/>
      <c r="D7" s="5" t="s">
        <v>3</v>
      </c>
      <c r="G7" s="232"/>
      <c r="H7" s="292"/>
      <c r="I7" s="292"/>
      <c r="J7" t="s">
        <v>112</v>
      </c>
    </row>
    <row r="8" spans="1:14" ht="15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" customHeight="1" x14ac:dyDescent="0.25">
      <c r="A9" s="275" t="s">
        <v>2</v>
      </c>
      <c r="B9" s="293"/>
      <c r="C9" s="293"/>
      <c r="G9" s="232"/>
      <c r="H9" s="232"/>
    </row>
    <row r="10" spans="1:14" ht="15" customHeight="1" x14ac:dyDescent="0.25">
      <c r="A10" s="275" t="s">
        <v>67</v>
      </c>
      <c r="B10" s="286"/>
      <c r="C10" s="286"/>
      <c r="G10" s="232"/>
      <c r="H10" s="232"/>
    </row>
    <row r="11" spans="1:14" ht="15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x14ac:dyDescent="0.25">
      <c r="B16" s="222" t="s">
        <v>248</v>
      </c>
      <c r="J16" t="s">
        <v>113</v>
      </c>
      <c r="K16" t="s">
        <v>115</v>
      </c>
    </row>
    <row r="17" spans="1:8" ht="15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" customHeight="1" x14ac:dyDescent="0.25">
      <c r="A22" s="276" t="s">
        <v>8</v>
      </c>
      <c r="B22" s="255">
        <v>50000</v>
      </c>
      <c r="C22" s="5" t="s">
        <v>9</v>
      </c>
      <c r="G22" s="232"/>
      <c r="H22" s="232"/>
    </row>
    <row r="23" spans="1:8" ht="15" customHeight="1" x14ac:dyDescent="0.25">
      <c r="A23" s="276" t="s">
        <v>10</v>
      </c>
      <c r="B23" s="255"/>
      <c r="C23" s="5"/>
      <c r="G23" s="232"/>
      <c r="H23" s="232"/>
    </row>
    <row r="24" spans="1:8" ht="15" customHeight="1" x14ac:dyDescent="0.25">
      <c r="A24" s="276" t="s">
        <v>36</v>
      </c>
      <c r="B24" s="255">
        <v>1000</v>
      </c>
      <c r="C24" s="5"/>
      <c r="G24" s="232"/>
      <c r="H24" s="232"/>
    </row>
    <row r="25" spans="1:8" ht="15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75" thickBot="1" x14ac:dyDescent="0.3">
      <c r="A33" s="276" t="s">
        <v>40</v>
      </c>
      <c r="B33" s="255">
        <v>10000</v>
      </c>
      <c r="C33" s="227" t="s">
        <v>260</v>
      </c>
    </row>
    <row r="34" spans="1:13" ht="15.75" thickBot="1" x14ac:dyDescent="0.3">
      <c r="A34" s="8" t="s">
        <v>48</v>
      </c>
      <c r="B34" s="10">
        <f>SUM(B17:B33)</f>
        <v>87600</v>
      </c>
      <c r="C34" s="7"/>
    </row>
    <row r="35" spans="1:13" x14ac:dyDescent="0.25">
      <c r="C35" s="7"/>
    </row>
    <row r="36" spans="1:13" ht="15.75" x14ac:dyDescent="0.25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idden="1" x14ac:dyDescent="0.25">
      <c r="B39" s="115">
        <f>SUM(B17,B19,B21,B25:B31)</f>
        <v>22600</v>
      </c>
      <c r="C39" s="116">
        <f t="shared" ref="C39:C54" si="0">IF(ISERROR($B39/$C$36),0,$B39/$C$36)</f>
        <v>4520</v>
      </c>
      <c r="D39" s="116">
        <f>IF($B39&gt;(SUM(C39:$C39)),IF(ISERROR($B39/$C$36),"",$B39/$C$36),0)</f>
        <v>4520</v>
      </c>
      <c r="E39" s="116">
        <f>IF($B39&gt;(SUM($C39:D39)),IF(ISERROR($B39/$C$36),"",$B39/$C$36),0)</f>
        <v>4520</v>
      </c>
      <c r="F39" s="116">
        <f>IF($B39&gt;(SUM($C39:E39)),IF(ISERROR($B39/$C$36),"",$B39/$C$36),0)</f>
        <v>4520</v>
      </c>
      <c r="G39" s="116">
        <f>IF($B39&gt;(SUM($C39:F39)),IF(ISERROR($B39/$C$36),"",$B39/$C$36),0)</f>
        <v>4520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22600</v>
      </c>
    </row>
    <row r="40" spans="1:13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2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" customHeight="1" x14ac:dyDescent="0.25">
      <c r="A59" s="276" t="s">
        <v>259</v>
      </c>
      <c r="B59" s="255">
        <v>33000</v>
      </c>
      <c r="C59" s="6"/>
      <c r="F59" s="89"/>
      <c r="G59" s="233"/>
      <c r="H59" s="233"/>
    </row>
    <row r="60" spans="1:13" ht="15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" customHeight="1" x14ac:dyDescent="0.25">
      <c r="A61" s="277" t="s">
        <v>301</v>
      </c>
      <c r="B61" s="255">
        <v>54600</v>
      </c>
      <c r="C61" s="257"/>
      <c r="D61" s="258"/>
      <c r="E61" s="89" t="s">
        <v>287</v>
      </c>
      <c r="F61" s="89"/>
      <c r="G61" s="233"/>
      <c r="H61" s="233"/>
    </row>
    <row r="62" spans="1:13" ht="15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87600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idden="1" x14ac:dyDescent="0.25">
      <c r="A70" t="s">
        <v>50</v>
      </c>
      <c r="B70" s="80">
        <f>IF(ISERROR((PMT(C61/12,D61,B61))*-1),0,(PMT(C61/12,D61,B61))*-1)</f>
        <v>0</v>
      </c>
      <c r="C70" s="79">
        <f>B70*D61</f>
        <v>0</v>
      </c>
      <c r="D70" s="82">
        <f>IF(ISERROR(B61/D61),0,B61/D61)</f>
        <v>0</v>
      </c>
      <c r="E70" s="152">
        <f>B70-D70</f>
        <v>0</v>
      </c>
      <c r="F70" s="80">
        <f>E70*D61</f>
        <v>0</v>
      </c>
      <c r="G70" s="153">
        <f>IF($D61&gt;12,$E70*12,$E70*$D61)</f>
        <v>0</v>
      </c>
      <c r="H70" s="153">
        <f>IF($D61-12&lt;0,0,IF($D61&gt;24,$E70*12,($D61-12)*$E70))</f>
        <v>0</v>
      </c>
      <c r="I70" s="153">
        <f>IF($D61-24&lt;0,0,IF($D61&gt;36,$E70*12,($D61-24)*$E70))</f>
        <v>0</v>
      </c>
      <c r="J70" s="153">
        <f>IF($D61&gt;12,$D70*12,$D70*$D61)</f>
        <v>0</v>
      </c>
      <c r="K70" s="153">
        <f>IF($D61-12&lt;0,0,IF($D61&gt;24,$D70*12,($D61-12)*$D70))</f>
        <v>0</v>
      </c>
      <c r="L70" s="153">
        <f>IF($D61-24&lt;0,0,IF($D61&gt;36,$D70*12,($D61-24)*$D70))</f>
        <v>0</v>
      </c>
    </row>
    <row r="71" spans="1:12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0</v>
      </c>
      <c r="J73" s="203">
        <f t="shared" si="17"/>
        <v>0</v>
      </c>
      <c r="K73" s="203">
        <f t="shared" si="17"/>
        <v>0</v>
      </c>
      <c r="L73" s="203">
        <f t="shared" si="17"/>
        <v>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" customHeight="1" x14ac:dyDescent="0.25">
      <c r="A81" s="276" t="s">
        <v>22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" customHeight="1" x14ac:dyDescent="0.25">
      <c r="A84" s="276" t="s">
        <v>26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1800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13200</v>
      </c>
      <c r="C88" s="260">
        <v>13300</v>
      </c>
      <c r="D88" s="261">
        <v>13400</v>
      </c>
      <c r="E88" s="5"/>
    </row>
    <row r="89" spans="1:8" x14ac:dyDescent="0.25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" customHeight="1" thickBot="1" x14ac:dyDescent="0.3"/>
    <row r="97" spans="1:9" ht="15.75" thickBot="1" x14ac:dyDescent="0.3">
      <c r="A97" s="8" t="s">
        <v>48</v>
      </c>
      <c r="B97" s="10">
        <f>SUM(B77:B95)</f>
        <v>28300</v>
      </c>
      <c r="C97" s="10">
        <f>SUM(C77:C95)</f>
        <v>30870</v>
      </c>
      <c r="D97" s="10">
        <f>SUM(D77:D95)</f>
        <v>32190</v>
      </c>
    </row>
    <row r="98" spans="1:9" x14ac:dyDescent="0.25"/>
    <row r="99" spans="1:9" ht="24" customHeight="1" x14ac:dyDescent="0.3">
      <c r="A99" s="270" t="s">
        <v>122</v>
      </c>
    </row>
    <row r="100" spans="1:9" ht="19.5" customHeight="1" x14ac:dyDescent="0.25">
      <c r="A100" s="4" t="s">
        <v>292</v>
      </c>
    </row>
    <row r="101" spans="1:9" x14ac:dyDescent="0.25"/>
    <row r="102" spans="1:9" ht="30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400</v>
      </c>
      <c r="D103" s="12">
        <f>B103*C103</f>
        <v>8000</v>
      </c>
      <c r="F103" s="281" t="s">
        <v>210</v>
      </c>
      <c r="G103" s="262">
        <v>20</v>
      </c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420</v>
      </c>
      <c r="D104" s="12">
        <f t="shared" ref="D104:D114" si="18">B104*C104</f>
        <v>8400</v>
      </c>
      <c r="F104" s="282" t="s">
        <v>211</v>
      </c>
      <c r="G104" s="262">
        <v>20</v>
      </c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440</v>
      </c>
      <c r="D105" s="12">
        <f t="shared" si="18"/>
        <v>8800</v>
      </c>
      <c r="F105" s="282" t="s">
        <v>212</v>
      </c>
      <c r="G105" s="262">
        <v>20</v>
      </c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460</v>
      </c>
      <c r="D106" s="12">
        <f t="shared" si="18"/>
        <v>9200</v>
      </c>
      <c r="F106" s="282" t="s">
        <v>217</v>
      </c>
      <c r="G106" s="262">
        <v>20</v>
      </c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500</v>
      </c>
      <c r="D107" s="12">
        <f t="shared" si="18"/>
        <v>10000</v>
      </c>
      <c r="F107" s="282" t="s">
        <v>219</v>
      </c>
      <c r="G107" s="262">
        <v>20</v>
      </c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20</v>
      </c>
      <c r="C108" s="255">
        <v>550</v>
      </c>
      <c r="D108" s="12">
        <f t="shared" si="18"/>
        <v>11000</v>
      </c>
      <c r="F108" s="282" t="s">
        <v>220</v>
      </c>
      <c r="G108" s="262">
        <v>20</v>
      </c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600</v>
      </c>
      <c r="D109" s="12">
        <f t="shared" si="18"/>
        <v>12000</v>
      </c>
      <c r="F109" s="282" t="s">
        <v>221</v>
      </c>
      <c r="G109" s="262">
        <v>20</v>
      </c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620</v>
      </c>
      <c r="D110" s="12">
        <f t="shared" si="18"/>
        <v>12400</v>
      </c>
      <c r="F110" s="282" t="s">
        <v>222</v>
      </c>
      <c r="G110" s="262">
        <v>20</v>
      </c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640</v>
      </c>
      <c r="D111" s="12">
        <f t="shared" si="18"/>
        <v>12800</v>
      </c>
      <c r="F111" s="282" t="s">
        <v>223</v>
      </c>
      <c r="G111" s="262">
        <v>20</v>
      </c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660</v>
      </c>
      <c r="D112" s="12">
        <f t="shared" si="18"/>
        <v>13200</v>
      </c>
      <c r="F112" s="282" t="s">
        <v>224</v>
      </c>
      <c r="G112" s="262">
        <v>20</v>
      </c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680</v>
      </c>
      <c r="D113" s="12">
        <f t="shared" si="18"/>
        <v>13600</v>
      </c>
      <c r="F113" s="282" t="s">
        <v>225</v>
      </c>
      <c r="G113" s="262">
        <v>20</v>
      </c>
      <c r="H113" s="255"/>
      <c r="I113" s="12">
        <f t="shared" si="19"/>
        <v>0</v>
      </c>
    </row>
    <row r="114" spans="1:9" ht="15.75" thickBot="1" x14ac:dyDescent="0.3">
      <c r="A114" s="279" t="s">
        <v>226</v>
      </c>
      <c r="B114" s="262">
        <v>20</v>
      </c>
      <c r="C114" s="255">
        <v>700</v>
      </c>
      <c r="D114" s="12">
        <f t="shared" si="18"/>
        <v>14000</v>
      </c>
      <c r="F114" s="282" t="s">
        <v>226</v>
      </c>
      <c r="G114" s="262">
        <v>20</v>
      </c>
      <c r="H114" s="255"/>
      <c r="I114" s="12">
        <f t="shared" si="19"/>
        <v>0</v>
      </c>
    </row>
    <row r="115" spans="1:9" ht="15.75" thickBot="1" x14ac:dyDescent="0.3">
      <c r="A115" s="14" t="s">
        <v>48</v>
      </c>
      <c r="D115" s="13">
        <f>SUM(D103:D114)</f>
        <v>133400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75" x14ac:dyDescent="0.25">
      <c r="A117" s="2" t="s">
        <v>56</v>
      </c>
      <c r="D117" s="263">
        <v>0.1</v>
      </c>
      <c r="F117" s="206" t="s">
        <v>119</v>
      </c>
      <c r="I117" s="263">
        <v>0.2</v>
      </c>
    </row>
    <row r="118" spans="1:9" ht="15.75" x14ac:dyDescent="0.25">
      <c r="A118" s="2" t="s">
        <v>57</v>
      </c>
      <c r="D118" s="263">
        <v>0.1</v>
      </c>
      <c r="F118" s="206" t="s">
        <v>118</v>
      </c>
      <c r="I118" s="263">
        <v>0.2</v>
      </c>
    </row>
    <row r="119" spans="1:9" x14ac:dyDescent="0.25"/>
    <row r="120" spans="1:9" ht="18.75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75" x14ac:dyDescent="0.25">
      <c r="A123" s="18" t="s">
        <v>184</v>
      </c>
      <c r="D123" s="264">
        <v>0.28000000000000003</v>
      </c>
      <c r="E123" s="160" t="s">
        <v>185</v>
      </c>
    </row>
    <row r="124" spans="1:9" x14ac:dyDescent="0.25">
      <c r="D124" s="285" t="s">
        <v>289</v>
      </c>
    </row>
    <row r="125" spans="1:9" ht="18.75" x14ac:dyDescent="0.3">
      <c r="A125" s="270" t="s">
        <v>65</v>
      </c>
    </row>
    <row r="126" spans="1:9" ht="18.75" customHeight="1" x14ac:dyDescent="0.3">
      <c r="A126" s="15"/>
      <c r="G126" s="252"/>
      <c r="H126" s="252"/>
    </row>
    <row r="127" spans="1:9" ht="14.25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25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" customHeight="1" x14ac:dyDescent="0.25">
      <c r="G129" s="252"/>
      <c r="H129" s="252"/>
    </row>
    <row r="130" spans="1:9" ht="18.75" customHeight="1" x14ac:dyDescent="0.3">
      <c r="A130" s="270" t="s">
        <v>83</v>
      </c>
      <c r="G130" s="252"/>
      <c r="H130" s="252"/>
    </row>
    <row r="131" spans="1:9" ht="15" customHeight="1" x14ac:dyDescent="0.25">
      <c r="G131" s="252"/>
      <c r="H131" s="252"/>
    </row>
    <row r="132" spans="1:9" ht="15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" customHeight="1" x14ac:dyDescent="0.25">
      <c r="A133" s="283" t="s">
        <v>252</v>
      </c>
      <c r="B133" s="259">
        <v>20000</v>
      </c>
      <c r="C133" s="260">
        <v>21000</v>
      </c>
      <c r="D133" s="261">
        <v>22000</v>
      </c>
      <c r="E133" s="207" t="s">
        <v>238</v>
      </c>
      <c r="G133" s="252"/>
      <c r="H133" s="252"/>
    </row>
    <row r="134" spans="1:9" ht="15" customHeight="1" x14ac:dyDescent="0.25">
      <c r="A134" s="283" t="s">
        <v>253</v>
      </c>
      <c r="B134" s="259">
        <v>16000</v>
      </c>
      <c r="C134" s="260">
        <v>18000</v>
      </c>
      <c r="D134" s="261">
        <v>21000</v>
      </c>
      <c r="E134" s="207" t="s">
        <v>238</v>
      </c>
      <c r="G134" s="252"/>
      <c r="H134" s="252"/>
    </row>
    <row r="135" spans="1:9" ht="15" customHeight="1" x14ac:dyDescent="0.25">
      <c r="G135" s="252"/>
      <c r="H135" s="252"/>
    </row>
    <row r="136" spans="1:9" ht="15.75" customHeight="1" x14ac:dyDescent="0.25">
      <c r="A136" s="19" t="s">
        <v>268</v>
      </c>
      <c r="C136" s="266" t="s">
        <v>89</v>
      </c>
      <c r="D136" s="94" t="s">
        <v>293</v>
      </c>
    </row>
    <row r="137" spans="1:9" ht="15" customHeight="1" x14ac:dyDescent="0.25">
      <c r="G137" s="241"/>
      <c r="H137" s="242"/>
    </row>
    <row r="138" spans="1:9" ht="15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" hidden="1" customHeight="1" x14ac:dyDescent="0.25">
      <c r="A139" t="s">
        <v>90</v>
      </c>
      <c r="B139" s="73">
        <f>B133*0.72</f>
        <v>14400</v>
      </c>
      <c r="C139" s="73">
        <f>C133*0.72</f>
        <v>15120</v>
      </c>
      <c r="D139" s="73">
        <f>D133*0.72</f>
        <v>15840</v>
      </c>
      <c r="F139" t="s">
        <v>90</v>
      </c>
      <c r="G139" s="245">
        <f>B133*0.72</f>
        <v>14400</v>
      </c>
      <c r="H139" s="246">
        <f>C133*0.72</f>
        <v>15120</v>
      </c>
      <c r="I139" s="73">
        <f>D133*0.72</f>
        <v>15840</v>
      </c>
    </row>
    <row r="140" spans="1:9" ht="15" hidden="1" customHeight="1" x14ac:dyDescent="0.25">
      <c r="A140" t="s">
        <v>1</v>
      </c>
      <c r="B140" s="71">
        <f>+'Plan financier à imprimer'!AG11*12.6%</f>
        <v>16808.400000000001</v>
      </c>
      <c r="C140" s="71">
        <f>+'Plan financier à imprimer'!AH11*12.6%</f>
        <v>18489.240000000002</v>
      </c>
      <c r="D140" s="71">
        <f>+'Plan financier à imprimer'!AI11*12.6%</f>
        <v>20338.164000000001</v>
      </c>
      <c r="E140" s="93" t="s">
        <v>132</v>
      </c>
      <c r="F140" t="s">
        <v>1</v>
      </c>
      <c r="G140" s="245">
        <f>+'Plan financier à imprimer'!AG11*6.3%</f>
        <v>8404.2000000000007</v>
      </c>
      <c r="H140" s="247">
        <f>+'Plan financier à imprimer'!AH11*12.6%</f>
        <v>18489.240000000002</v>
      </c>
      <c r="I140" s="71">
        <f>+'Plan financier à imprimer'!AI11*12.6%</f>
        <v>20338.164000000001</v>
      </c>
    </row>
    <row r="141" spans="1:9" ht="15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" hidden="1" customHeight="1" x14ac:dyDescent="0.25">
      <c r="A142" t="s">
        <v>110</v>
      </c>
      <c r="B142" s="71">
        <f>IF('Plan financier à imprimer'!AG52*30%&lt;3456,3456,'Plan financier à imprimer'!AG52*30%)</f>
        <v>8648.4</v>
      </c>
      <c r="C142" s="71">
        <f>IF('Plan financier à imprimer'!AH52*30%&lt;3456,3456,'Plan financier à imprimer'!AH52*30%)</f>
        <v>10242.839999999997</v>
      </c>
      <c r="D142" s="71">
        <f>IF('Plan financier à imprimer'!AI52*30%&lt;3456,3456,'Plan financier à imprimer'!AI52*30%)</f>
        <v>12500.423999999995</v>
      </c>
      <c r="F142" t="s">
        <v>110</v>
      </c>
      <c r="G142" s="245">
        <v>1305</v>
      </c>
      <c r="H142" s="248">
        <f>IF('Plan financier à imprimer'!AH52*32%&lt;3456,3456,'Plan financier à imprimer'!AH52*32%)</f>
        <v>10925.695999999996</v>
      </c>
      <c r="I142" s="72">
        <f>IF('Plan financier à imprimer'!AI52*32%&lt;3456,3456,'Plan financier à imprimer'!AI52*32%)</f>
        <v>13333.785599999996</v>
      </c>
    </row>
    <row r="143" spans="1:9" ht="15.75" hidden="1" customHeight="1" x14ac:dyDescent="0.25">
      <c r="A143" t="s">
        <v>109</v>
      </c>
      <c r="B143" s="71">
        <f>IF(B134*45%&lt;3456,3456,B134*45%)</f>
        <v>7200</v>
      </c>
      <c r="C143" s="71">
        <f>IF(C134*45%&lt;3456,3456,C134*45%)</f>
        <v>8100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8100</v>
      </c>
      <c r="I143" s="72">
        <f>IF(D134*45%&lt;3456,3456,D134*45%)</f>
        <v>9450</v>
      </c>
    </row>
    <row r="144" spans="1:9" hidden="1" x14ac:dyDescent="0.25">
      <c r="A144" t="s">
        <v>111</v>
      </c>
      <c r="B144" s="71">
        <f>IF(B134*45%&lt;3456,3456,B134*45%)</f>
        <v>7200</v>
      </c>
      <c r="C144" s="71">
        <f>IF(C134*45%&lt;3456,3456,C134*45%)</f>
        <v>8100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8100</v>
      </c>
      <c r="I144" s="72">
        <f>IF(D134*45%&lt;3456,3456,D134*45%)</f>
        <v>9450</v>
      </c>
    </row>
    <row r="145" spans="1:9" hidden="1" x14ac:dyDescent="0.25">
      <c r="A145" t="s">
        <v>112</v>
      </c>
      <c r="B145" s="71">
        <f>B134*70%</f>
        <v>11200</v>
      </c>
      <c r="C145" s="71">
        <f t="shared" ref="C145:D145" si="20">C134*70%</f>
        <v>12600</v>
      </c>
      <c r="D145" s="71">
        <f t="shared" si="20"/>
        <v>14699.999999999998</v>
      </c>
      <c r="F145" t="s">
        <v>112</v>
      </c>
      <c r="G145" s="245">
        <f>B134*33%</f>
        <v>5280</v>
      </c>
      <c r="H145" s="245">
        <f>C134*70%</f>
        <v>12600</v>
      </c>
      <c r="I145" s="245">
        <f>D134*70%</f>
        <v>14699.999999999998</v>
      </c>
    </row>
    <row r="146" spans="1:9" hidden="1" x14ac:dyDescent="0.25">
      <c r="A146" t="s">
        <v>113</v>
      </c>
      <c r="B146" s="71">
        <f>B134*70%</f>
        <v>11200</v>
      </c>
      <c r="C146" s="71">
        <f t="shared" ref="C146:D146" si="21">C134*70%</f>
        <v>12600</v>
      </c>
      <c r="D146" s="71">
        <f t="shared" si="21"/>
        <v>14699.999999999998</v>
      </c>
      <c r="F146" t="s">
        <v>113</v>
      </c>
      <c r="G146" s="245">
        <f>B134*33%</f>
        <v>5280</v>
      </c>
      <c r="H146" s="245">
        <f>C134*70%</f>
        <v>12600</v>
      </c>
      <c r="I146" s="245">
        <f>D134*70%</f>
        <v>14699.999999999998</v>
      </c>
    </row>
    <row r="147" spans="1:9" hidden="1" x14ac:dyDescent="0.25">
      <c r="A147" s="1" t="s">
        <v>108</v>
      </c>
      <c r="B147" s="73">
        <f>SUMIF($A$140:$A$146,$B$8,B140:B146)</f>
        <v>11200</v>
      </c>
      <c r="C147" s="73">
        <f>SUMIF($A$140:$A$146,$B$8,C140:C146)</f>
        <v>12600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5280</v>
      </c>
      <c r="H147" s="246">
        <f>SUMIF($A$140:$A$146,$B$8,H140:H146)</f>
        <v>12600</v>
      </c>
      <c r="I147" s="246">
        <f>SUMIF($A$140:$A$146,$B$8,I140:I146)</f>
        <v>14699.999999999998</v>
      </c>
    </row>
    <row r="148" spans="1:9" hidden="1" x14ac:dyDescent="0.25">
      <c r="B148" s="49"/>
      <c r="C148" s="49"/>
      <c r="D148" s="49"/>
      <c r="G148" s="241"/>
      <c r="H148" s="242"/>
    </row>
    <row r="149" spans="1:9" ht="18.75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5" customHeight="1" thickBot="1" x14ac:dyDescent="0.3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" customHeight="1" x14ac:dyDescent="0.25">
      <c r="E152" s="171"/>
      <c r="G152" s="252"/>
      <c r="H152" s="252"/>
    </row>
    <row r="153" spans="1:9" ht="18.75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5" customHeight="1" thickBot="1" x14ac:dyDescent="0.3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" customHeight="1" x14ac:dyDescent="0.25">
      <c r="E156" s="171"/>
      <c r="G156" s="252"/>
      <c r="H156" s="252"/>
    </row>
    <row r="157" spans="1:9" ht="36" customHeight="1" x14ac:dyDescent="0.4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75" x14ac:dyDescent="0.25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" customHeight="1" x14ac:dyDescent="0.25">
      <c r="B5" s="26"/>
      <c r="E5" s="250"/>
      <c r="F5" s="221"/>
      <c r="G5" s="221"/>
      <c r="H5" s="27"/>
    </row>
    <row r="6" spans="2:84" ht="15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Restaurant</v>
      </c>
      <c r="T6" s="1" t="s">
        <v>68</v>
      </c>
      <c r="V6" s="3" t="str">
        <f>IF(ISBLANK('Données à saisir'!$B7),"",('Données à saisir'!$B7))</f>
        <v>Restaurant</v>
      </c>
      <c r="AC6" s="1" t="s">
        <v>68</v>
      </c>
      <c r="AE6" s="3" t="str">
        <f>IF(ISBLANK('Données à saisir'!$B7),"",('Données à saisir'!$B7))</f>
        <v>Restaurant</v>
      </c>
      <c r="AL6" s="1" t="s">
        <v>68</v>
      </c>
      <c r="AN6" s="3" t="str">
        <f>IF(ISBLANK('Données à saisir'!$B7),"",('Données à saisir'!$B7))</f>
        <v>Restaurant</v>
      </c>
      <c r="AW6" s="1" t="s">
        <v>68</v>
      </c>
      <c r="AY6" s="3" t="str">
        <f>IF(ISBLANK('Données à saisir'!$B7),"",('Données à saisir'!$B7))</f>
        <v>Restaurant</v>
      </c>
      <c r="BF6" s="1" t="s">
        <v>68</v>
      </c>
      <c r="BH6" s="3" t="str">
        <f>IF(ISBLANK('Données à saisir'!$B7),"",('Données à saisir'!$B7))</f>
        <v>Restaurant</v>
      </c>
      <c r="BO6" s="1" t="s">
        <v>68</v>
      </c>
      <c r="BQ6" s="3" t="str">
        <f>IF(ISBLANK('Données à saisir'!$B7),"",('Données à saisir'!$B7))</f>
        <v>Restaurant</v>
      </c>
      <c r="BV6" s="193" t="s">
        <v>216</v>
      </c>
      <c r="BY6" s="1" t="s">
        <v>68</v>
      </c>
      <c r="CA6" s="3" t="str">
        <f>IF(ISBLANK('Données à saisir'!$B7),"",('Données à saisir'!$B7))</f>
        <v>Restaurant</v>
      </c>
      <c r="CF6" s="193" t="s">
        <v>216</v>
      </c>
    </row>
    <row r="7" spans="2:84" ht="15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133400</v>
      </c>
      <c r="AH10" s="60">
        <f t="shared" ref="AH10:AI10" si="0">SUM(AH11:AH12)</f>
        <v>146740</v>
      </c>
      <c r="AI10" s="226">
        <f t="shared" si="0"/>
        <v>161414</v>
      </c>
      <c r="AW10" s="50"/>
      <c r="BA10" s="335"/>
      <c r="BB10" s="324"/>
      <c r="BC10" s="337"/>
    </row>
    <row r="11" spans="2:84" ht="15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133400</v>
      </c>
      <c r="AH11" s="62">
        <f>AG11+AG11*'Données à saisir'!D117</f>
        <v>146740</v>
      </c>
      <c r="AI11" s="54">
        <f>AH11+AH11*'Données à saisir'!D118</f>
        <v>161414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133400</v>
      </c>
      <c r="BB11" s="60">
        <f>AH10</f>
        <v>146740</v>
      </c>
      <c r="BC11" s="226">
        <f>AI10</f>
        <v>161414</v>
      </c>
      <c r="BO11" s="214" t="s">
        <v>241</v>
      </c>
    </row>
    <row r="12" spans="2:84" ht="15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53100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37352</v>
      </c>
      <c r="BB12" s="104">
        <f>AQ15</f>
        <v>41087.200000000004</v>
      </c>
      <c r="BC12" s="120">
        <f>AS15</f>
        <v>45195.920000000006</v>
      </c>
      <c r="BJ12" s="334" t="s">
        <v>41</v>
      </c>
      <c r="BK12" s="323" t="s">
        <v>42</v>
      </c>
      <c r="BL12" s="336" t="s">
        <v>43</v>
      </c>
    </row>
    <row r="13" spans="2:84" ht="15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37352</v>
      </c>
      <c r="AH13" s="57">
        <f>AH14</f>
        <v>41087.200000000004</v>
      </c>
      <c r="AI13" s="53">
        <f>AI14</f>
        <v>45195.920000000006</v>
      </c>
      <c r="AL13" s="107" t="s">
        <v>153</v>
      </c>
      <c r="AM13" s="34"/>
      <c r="AN13" s="34"/>
      <c r="AO13" s="119">
        <f>AG10</f>
        <v>133400</v>
      </c>
      <c r="AP13" s="139">
        <v>1</v>
      </c>
      <c r="AQ13" s="119">
        <f>AH10</f>
        <v>146740</v>
      </c>
      <c r="AR13" s="140">
        <v>1</v>
      </c>
      <c r="AS13" s="119">
        <f>AI10</f>
        <v>161414</v>
      </c>
      <c r="AT13" s="141">
        <v>1</v>
      </c>
      <c r="AW13" s="123" t="s">
        <v>177</v>
      </c>
      <c r="BA13" s="104">
        <f>BA12</f>
        <v>37352</v>
      </c>
      <c r="BB13" s="104">
        <f t="shared" ref="BB13:BC13" si="1">BB12</f>
        <v>41087.200000000004</v>
      </c>
      <c r="BC13" s="120">
        <f t="shared" si="1"/>
        <v>45195.920000000006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37352</v>
      </c>
      <c r="AH14" s="62">
        <f>'Données à saisir'!$D$123*'Plan financier à imprimer'!AH11</f>
        <v>41087.200000000004</v>
      </c>
      <c r="AI14" s="54">
        <f>'Données à saisir'!$D$123*'Plan financier à imprimer'!AI11</f>
        <v>45195.920000000006</v>
      </c>
      <c r="AL14" s="38" t="s">
        <v>154</v>
      </c>
      <c r="AO14" s="104">
        <f>AG10</f>
        <v>133400</v>
      </c>
      <c r="AP14" s="142">
        <v>1</v>
      </c>
      <c r="AQ14" s="104">
        <f>AH10</f>
        <v>146740</v>
      </c>
      <c r="AR14" s="143">
        <v>1</v>
      </c>
      <c r="AS14" s="104">
        <f>AI10</f>
        <v>161414</v>
      </c>
      <c r="AT14" s="144">
        <v>1</v>
      </c>
      <c r="AW14" s="123" t="s">
        <v>178</v>
      </c>
      <c r="BA14" s="57">
        <f>BA11-BA13</f>
        <v>96048</v>
      </c>
      <c r="BB14" s="57">
        <f t="shared" ref="BB14:BC14" si="2">BB11-BB13</f>
        <v>105652.79999999999</v>
      </c>
      <c r="BC14" s="53">
        <f t="shared" si="2"/>
        <v>116218.07999999999</v>
      </c>
      <c r="BF14" s="186" t="s">
        <v>201</v>
      </c>
      <c r="BG14" s="52"/>
      <c r="BH14" s="52"/>
      <c r="BI14" s="52"/>
      <c r="BJ14" s="187">
        <f>Q12+Q23</f>
        <v>73600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16000</v>
      </c>
      <c r="Y15" s="60">
        <f>'Données à saisir'!C134</f>
        <v>18000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37352</v>
      </c>
      <c r="AP15" s="145">
        <f>AO15/$AO$14</f>
        <v>0.28000000000000003</v>
      </c>
      <c r="AQ15" s="104">
        <f>AH14</f>
        <v>41087.200000000004</v>
      </c>
      <c r="AR15" s="145">
        <f>AQ15/$AQ$14</f>
        <v>0.28000000000000003</v>
      </c>
      <c r="AS15" s="104">
        <f>AI14</f>
        <v>45195.920000000006</v>
      </c>
      <c r="AT15" s="146">
        <f>AS15/$AS$14</f>
        <v>0.28000000000000003</v>
      </c>
      <c r="AW15" s="63" t="s">
        <v>195</v>
      </c>
      <c r="AX15" s="64"/>
      <c r="AY15" s="64"/>
      <c r="AZ15" s="64"/>
      <c r="BA15" s="154">
        <f>IF(ISERROR(BA14/BA11),0,BA14/BA11)</f>
        <v>0.72</v>
      </c>
      <c r="BB15" s="154">
        <f t="shared" ref="BB15:BC15" si="3">IF(ISERROR(BB14/BB11),0,BB14/BB11)</f>
        <v>0.72</v>
      </c>
      <c r="BC15" s="158">
        <f t="shared" si="3"/>
        <v>0.72</v>
      </c>
      <c r="BF15" s="123" t="s">
        <v>266</v>
      </c>
      <c r="BJ15" s="104">
        <f>Q30</f>
        <v>4000</v>
      </c>
      <c r="BK15" s="104"/>
      <c r="BL15" s="120"/>
      <c r="BO15" s="192" t="s">
        <v>202</v>
      </c>
      <c r="BP15" s="52"/>
      <c r="BQ15" s="52"/>
      <c r="BR15" s="187">
        <f>BJ19</f>
        <v>33000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33000</v>
      </c>
    </row>
    <row r="16" spans="2:84" ht="15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0.125</v>
      </c>
      <c r="Z16" s="103">
        <f>IF(ISERROR((Z15-Y15)/Y15),"",(Z15-Y15)/Y15)</f>
        <v>0.16666666666666666</v>
      </c>
      <c r="AC16" s="63" t="s">
        <v>127</v>
      </c>
      <c r="AD16" s="64"/>
      <c r="AE16" s="64"/>
      <c r="AF16" s="64"/>
      <c r="AG16" s="65">
        <f>AG10-AG13</f>
        <v>96048</v>
      </c>
      <c r="AH16" s="65">
        <f>AH10-AH13</f>
        <v>105652.79999999999</v>
      </c>
      <c r="AI16" s="66">
        <f>AI10-AI13</f>
        <v>116218.07999999999</v>
      </c>
      <c r="AL16" s="63" t="s">
        <v>156</v>
      </c>
      <c r="AM16" s="64"/>
      <c r="AN16" s="64"/>
      <c r="AO16" s="65">
        <f>AO14-AO15</f>
        <v>96048</v>
      </c>
      <c r="AP16" s="147">
        <f t="shared" ref="AP16:AP28" si="5">AO16/$AO$14</f>
        <v>0.72</v>
      </c>
      <c r="AQ16" s="65">
        <f t="shared" ref="AQ16:AS16" si="6">AQ14-AQ15</f>
        <v>105652.79999999999</v>
      </c>
      <c r="AR16" s="148">
        <f t="shared" ref="AR16:AR28" si="7">AQ16/$AQ$14</f>
        <v>0.72</v>
      </c>
      <c r="AS16" s="65">
        <f t="shared" si="6"/>
        <v>116218.07999999999</v>
      </c>
      <c r="AT16" s="150">
        <f t="shared" ref="AT16:AT28" si="8">AS16/$AS$14</f>
        <v>0.72</v>
      </c>
      <c r="AW16" s="123" t="s">
        <v>179</v>
      </c>
      <c r="BA16" s="104">
        <f>SUM(AO17,AO19,AO20,AO22,AO24)</f>
        <v>94420</v>
      </c>
      <c r="BB16" s="104">
        <f>SUM(AQ17,AQ19,AQ20,AQ22,AQ24)</f>
        <v>102110</v>
      </c>
      <c r="BC16" s="159">
        <f>SUM(AS17,AS19,AS20,AS22,AS24)</f>
        <v>110250</v>
      </c>
      <c r="BF16" s="123" t="s">
        <v>199</v>
      </c>
      <c r="BJ16" s="104">
        <f>BA39</f>
        <v>-1023.3424657534247</v>
      </c>
      <c r="BK16" s="104">
        <f>BB39-BA39</f>
        <v>-102.3342465753426</v>
      </c>
      <c r="BL16" s="120">
        <f>+BC39-BB39</f>
        <v>-112.56767123287659</v>
      </c>
      <c r="BO16" s="123" t="s">
        <v>203</v>
      </c>
      <c r="BR16" s="104">
        <f>BJ20</f>
        <v>54600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54600</v>
      </c>
    </row>
    <row r="17" spans="2:84" ht="15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11200</v>
      </c>
      <c r="Y17" s="57">
        <f>AH40</f>
        <v>12600</v>
      </c>
      <c r="Z17" s="53">
        <f>AI40</f>
        <v>14699.999999999998</v>
      </c>
      <c r="AC17" s="37" t="s">
        <v>128</v>
      </c>
      <c r="AG17" s="57">
        <f>SUM(AG18:AG33)</f>
        <v>27550</v>
      </c>
      <c r="AH17" s="57">
        <f>SUM(AH18:AH33)</f>
        <v>29270</v>
      </c>
      <c r="AI17" s="68">
        <f>SUM(AI18:AI33)</f>
        <v>30490</v>
      </c>
      <c r="AL17" s="70" t="s">
        <v>81</v>
      </c>
      <c r="AO17" s="104">
        <f>AG17</f>
        <v>27550</v>
      </c>
      <c r="AP17" s="145">
        <f t="shared" si="5"/>
        <v>0.20652173913043478</v>
      </c>
      <c r="AQ17" s="104">
        <f>AH17</f>
        <v>29270</v>
      </c>
      <c r="AR17" s="149">
        <f t="shared" si="7"/>
        <v>0.19946844759438462</v>
      </c>
      <c r="AS17" s="104">
        <f>AI17</f>
        <v>30490</v>
      </c>
      <c r="AT17" s="146">
        <f t="shared" si="8"/>
        <v>0.18889315672742141</v>
      </c>
      <c r="AW17" s="63" t="s">
        <v>196</v>
      </c>
      <c r="AX17" s="64"/>
      <c r="AY17" s="64"/>
      <c r="AZ17" s="64"/>
      <c r="BA17" s="65">
        <f>BA12+BA16</f>
        <v>131772</v>
      </c>
      <c r="BB17" s="65">
        <f t="shared" ref="BB17:BC17" si="9">BB12+BB16</f>
        <v>143197.20000000001</v>
      </c>
      <c r="BC17" s="66">
        <f t="shared" si="9"/>
        <v>155445.92000000001</v>
      </c>
      <c r="BF17" s="123" t="s">
        <v>200</v>
      </c>
      <c r="BJ17" s="104">
        <f>AO45</f>
        <v>0</v>
      </c>
      <c r="BK17" s="104">
        <f>AQ45</f>
        <v>0</v>
      </c>
      <c r="BL17" s="120">
        <f>AS45</f>
        <v>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50000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68498</v>
      </c>
      <c r="AP18" s="147">
        <f t="shared" si="5"/>
        <v>0.51347826086956527</v>
      </c>
      <c r="AQ18" s="65">
        <f t="shared" ref="AQ18:AS18" si="10">AQ16-AQ17</f>
        <v>76382.799999999988</v>
      </c>
      <c r="AR18" s="148">
        <f t="shared" si="7"/>
        <v>0.52053155240561533</v>
      </c>
      <c r="AS18" s="65">
        <f t="shared" si="10"/>
        <v>85728.079999999987</v>
      </c>
      <c r="AT18" s="150">
        <f t="shared" si="8"/>
        <v>0.53110684327257851</v>
      </c>
      <c r="AW18" s="123" t="s">
        <v>180</v>
      </c>
      <c r="BA18" s="104">
        <f>AG44</f>
        <v>1628</v>
      </c>
      <c r="BB18" s="104">
        <f>AH44</f>
        <v>3542.7999999999884</v>
      </c>
      <c r="BC18" s="159">
        <f>AI44</f>
        <v>5968.0799999999872</v>
      </c>
      <c r="BF18" s="63" t="s">
        <v>198</v>
      </c>
      <c r="BG18" s="64"/>
      <c r="BH18" s="64"/>
      <c r="BI18" s="64"/>
      <c r="BJ18" s="188">
        <f>SUM(BJ14:BJ17)</f>
        <v>76576.65753424658</v>
      </c>
      <c r="BK18" s="189">
        <f>SUM(BK14:BK17)</f>
        <v>-102.3342465753426</v>
      </c>
      <c r="BL18" s="190">
        <f>SUM(BL14:BL17)</f>
        <v>-112.56767123287659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20000</v>
      </c>
      <c r="Y19" s="60">
        <f>'Données à saisir'!C133</f>
        <v>21000</v>
      </c>
      <c r="Z19" s="61">
        <f>'Données à saisir'!D133</f>
        <v>22000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5.4518195447730679E-3</v>
      </c>
      <c r="AS19" s="104">
        <f>AI36</f>
        <v>850</v>
      </c>
      <c r="AT19" s="146">
        <f t="shared" si="8"/>
        <v>5.2659620602921679E-3</v>
      </c>
      <c r="AW19" s="63" t="s">
        <v>197</v>
      </c>
      <c r="AX19" s="64"/>
      <c r="AY19" s="64"/>
      <c r="AZ19" s="64"/>
      <c r="BA19" s="65">
        <f>IF(ISERROR(BA16/BA15),0,BA16/BA15)</f>
        <v>131138.88888888891</v>
      </c>
      <c r="BB19" s="65">
        <f t="shared" ref="BB19:BC19" si="11">IF(ISERROR(BB16/BB15),0,BB16/BB15)</f>
        <v>141819.44444444444</v>
      </c>
      <c r="BC19" s="66">
        <f t="shared" si="11"/>
        <v>153125</v>
      </c>
      <c r="BF19" s="123" t="s">
        <v>202</v>
      </c>
      <c r="BJ19" s="104">
        <f>Q37</f>
        <v>33000</v>
      </c>
      <c r="BK19" s="104"/>
      <c r="BL19" s="159"/>
      <c r="BO19" s="192" t="s">
        <v>213</v>
      </c>
      <c r="BP19" s="34"/>
      <c r="BQ19" s="34"/>
      <c r="BR19" s="119">
        <f>'Données à saisir'!D103</f>
        <v>8000</v>
      </c>
      <c r="BS19" s="119">
        <f>'Données à saisir'!D104</f>
        <v>8400</v>
      </c>
      <c r="BT19" s="119">
        <f>'Données à saisir'!D105</f>
        <v>8800</v>
      </c>
      <c r="BU19" s="119">
        <f>'Données à saisir'!D106</f>
        <v>9200</v>
      </c>
      <c r="BV19" s="209">
        <f>'Données à saisir'!D107</f>
        <v>10000</v>
      </c>
      <c r="BY19" s="210">
        <f>'Données à saisir'!D108</f>
        <v>11000</v>
      </c>
      <c r="BZ19" s="119">
        <f>'Données à saisir'!D109</f>
        <v>12000</v>
      </c>
      <c r="CA19" s="119">
        <f>'Données à saisir'!D110</f>
        <v>12400</v>
      </c>
      <c r="CB19" s="119">
        <f>'Données à saisir'!D111</f>
        <v>12800</v>
      </c>
      <c r="CC19" s="119">
        <f>'Données à saisir'!D112</f>
        <v>13200</v>
      </c>
      <c r="CD19" s="119">
        <f>'Données à saisir'!D113</f>
        <v>13600</v>
      </c>
      <c r="CE19" s="211">
        <f>'Données à saisir'!D114</f>
        <v>14000</v>
      </c>
      <c r="CF19" s="213">
        <f>SUM(BR19:CE19)</f>
        <v>133400</v>
      </c>
    </row>
    <row r="20" spans="2:84" ht="15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142</v>
      </c>
      <c r="X20" s="62"/>
      <c r="Y20" s="102">
        <f>IF(ISERROR((Y19-X19)/X19),"",(Y19-X19)/X19)</f>
        <v>0.05</v>
      </c>
      <c r="Z20" s="103">
        <f>IF(ISERROR((Z19-Y19)/Y19),"",(Z19-Y19)/Y19)</f>
        <v>4.7619047619047616E-2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61600</v>
      </c>
      <c r="AP20" s="145">
        <f t="shared" si="5"/>
        <v>0.46176911544227889</v>
      </c>
      <c r="AQ20" s="104">
        <f>SUM(AH37:AH40)</f>
        <v>66720</v>
      </c>
      <c r="AR20" s="149">
        <f t="shared" si="7"/>
        <v>0.45468175003407385</v>
      </c>
      <c r="AS20" s="104">
        <f>SUM(AI37:AI40)</f>
        <v>73540</v>
      </c>
      <c r="AT20" s="146">
        <f t="shared" si="8"/>
        <v>0.45559864695751295</v>
      </c>
      <c r="AW20" s="123" t="s">
        <v>181</v>
      </c>
      <c r="BA20" s="104">
        <f>BA11-BA19</f>
        <v>2261.1111111110949</v>
      </c>
      <c r="BB20" s="104">
        <f t="shared" ref="BB20:BC20" si="12">BB11-BB19</f>
        <v>4920.555555555562</v>
      </c>
      <c r="BC20" s="120">
        <f t="shared" si="12"/>
        <v>8289</v>
      </c>
      <c r="BF20" s="123" t="s">
        <v>203</v>
      </c>
      <c r="BJ20" s="104">
        <f>Q40</f>
        <v>54600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14400</v>
      </c>
      <c r="Y21" s="57">
        <f>'Données à saisir'!C139</f>
        <v>15120</v>
      </c>
      <c r="Z21" s="53">
        <f>'Données à saisir'!D139</f>
        <v>15840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6898</v>
      </c>
      <c r="AP21" s="147">
        <f t="shared" si="5"/>
        <v>5.1709145427286357E-2</v>
      </c>
      <c r="AQ21" s="65">
        <f t="shared" ref="AQ21:AS21" si="14">AQ18-AQ19-AQ20</f>
        <v>8862.7999999999884</v>
      </c>
      <c r="AR21" s="148">
        <f t="shared" si="7"/>
        <v>6.0397982826768358E-2</v>
      </c>
      <c r="AS21" s="65">
        <f t="shared" si="14"/>
        <v>11338.079999999987</v>
      </c>
      <c r="AT21" s="150">
        <f t="shared" si="8"/>
        <v>7.0242234254773356E-2</v>
      </c>
      <c r="AW21" s="208" t="s">
        <v>182</v>
      </c>
      <c r="AX21" s="36"/>
      <c r="AY21" s="36"/>
      <c r="AZ21" s="36"/>
      <c r="BA21" s="156">
        <f>BA19/250</f>
        <v>524.55555555555566</v>
      </c>
      <c r="BB21" s="156">
        <f t="shared" ref="BB21:BC21" si="15">BB19/250</f>
        <v>567.27777777777771</v>
      </c>
      <c r="BC21" s="157">
        <f t="shared" si="15"/>
        <v>612.5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8000</v>
      </c>
      <c r="BS21" s="65">
        <f t="shared" ref="BS21:BV21" si="16">SUM(BS19:BS20)</f>
        <v>8400</v>
      </c>
      <c r="BT21" s="65">
        <f t="shared" si="16"/>
        <v>8800</v>
      </c>
      <c r="BU21" s="65">
        <f t="shared" si="16"/>
        <v>9200</v>
      </c>
      <c r="BV21" s="66">
        <f t="shared" si="16"/>
        <v>10000</v>
      </c>
      <c r="BY21" s="197">
        <f t="shared" ref="BY21:CE21" si="17">SUM(BY19:BY20)</f>
        <v>11000</v>
      </c>
      <c r="BZ21" s="65">
        <f t="shared" si="17"/>
        <v>12000</v>
      </c>
      <c r="CA21" s="65">
        <f t="shared" si="17"/>
        <v>12400</v>
      </c>
      <c r="CB21" s="65">
        <f t="shared" si="17"/>
        <v>12800</v>
      </c>
      <c r="CC21" s="65">
        <f t="shared" si="17"/>
        <v>13200</v>
      </c>
      <c r="CD21" s="65">
        <f t="shared" si="17"/>
        <v>13600</v>
      </c>
      <c r="CE21" s="131">
        <f t="shared" si="17"/>
        <v>14000</v>
      </c>
      <c r="CF21" s="200">
        <f t="shared" si="13"/>
        <v>133400</v>
      </c>
    </row>
    <row r="22" spans="2:84" ht="15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157</v>
      </c>
      <c r="AO22" s="104">
        <f>AG43</f>
        <v>4520</v>
      </c>
      <c r="AP22" s="145">
        <f t="shared" si="5"/>
        <v>3.3883058470764615E-2</v>
      </c>
      <c r="AQ22" s="104">
        <f>AH43</f>
        <v>4520</v>
      </c>
      <c r="AR22" s="149">
        <f t="shared" si="7"/>
        <v>3.0802780427967833E-2</v>
      </c>
      <c r="AS22" s="104">
        <f>AI43</f>
        <v>4520</v>
      </c>
      <c r="AT22" s="146">
        <f t="shared" si="8"/>
        <v>2.8002527661788939E-2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53100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53100</v>
      </c>
    </row>
    <row r="23" spans="2:84" ht="15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158</v>
      </c>
      <c r="AM23" s="64"/>
      <c r="AN23" s="64"/>
      <c r="AO23" s="65">
        <f>AO21-AO22</f>
        <v>2378</v>
      </c>
      <c r="AP23" s="147">
        <f t="shared" si="5"/>
        <v>1.7826086956521738E-2</v>
      </c>
      <c r="AQ23" s="65">
        <f t="shared" ref="AQ23:AS23" si="18">AQ21-AQ22</f>
        <v>4342.7999999999884</v>
      </c>
      <c r="AR23" s="148">
        <f t="shared" si="7"/>
        <v>2.9595202398800521E-2</v>
      </c>
      <c r="AS23" s="65">
        <f t="shared" si="18"/>
        <v>6818.0799999999872</v>
      </c>
      <c r="AT23" s="150">
        <f t="shared" si="8"/>
        <v>4.223970659298442E-2</v>
      </c>
      <c r="AW23" s="4"/>
      <c r="BA23" s="99"/>
      <c r="BB23" s="99"/>
      <c r="BC23" s="99"/>
      <c r="BF23" s="123" t="s">
        <v>206</v>
      </c>
      <c r="BJ23" s="104">
        <f>AO44</f>
        <v>5903.8</v>
      </c>
      <c r="BK23" s="104">
        <f>AQ44</f>
        <v>7531.3799999999901</v>
      </c>
      <c r="BL23" s="159">
        <f>AS44</f>
        <v>9592.8679999999895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750</v>
      </c>
      <c r="AP24" s="145">
        <f t="shared" si="5"/>
        <v>5.6221889055472268E-3</v>
      </c>
      <c r="AQ24" s="104">
        <f>AH42</f>
        <v>800</v>
      </c>
      <c r="AR24" s="149">
        <f t="shared" si="7"/>
        <v>5.4518195447730679E-3</v>
      </c>
      <c r="AS24" s="104">
        <f>AI42</f>
        <v>850</v>
      </c>
      <c r="AT24" s="146">
        <f t="shared" si="8"/>
        <v>5.2659620602921679E-3</v>
      </c>
      <c r="BF24" s="63" t="s">
        <v>207</v>
      </c>
      <c r="BG24" s="64"/>
      <c r="BH24" s="64"/>
      <c r="BI24" s="64"/>
      <c r="BJ24" s="65">
        <f>SUM(BJ19:BJ23)</f>
        <v>93503.8</v>
      </c>
      <c r="BK24" s="65">
        <f>SUM(BK19:BK23)</f>
        <v>7531.3799999999901</v>
      </c>
      <c r="BL24" s="66">
        <f>SUM(BL19:BL23)</f>
        <v>9592.8679999999895</v>
      </c>
      <c r="BO24" s="63" t="s">
        <v>227</v>
      </c>
      <c r="BP24" s="64"/>
      <c r="BQ24" s="64"/>
      <c r="BR24" s="65">
        <f>SUM(BR22:BR23)</f>
        <v>73600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73600</v>
      </c>
    </row>
    <row r="25" spans="2:84" ht="15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159</v>
      </c>
      <c r="AM25" s="1"/>
      <c r="AN25" s="1"/>
      <c r="AO25" s="104">
        <f>AO24*-1</f>
        <v>-750</v>
      </c>
      <c r="AP25" s="145">
        <f t="shared" si="5"/>
        <v>-5.6221889055472268E-3</v>
      </c>
      <c r="AQ25" s="104">
        <f t="shared" ref="AQ25:AS25" si="19">AQ24*-1</f>
        <v>-800</v>
      </c>
      <c r="AR25" s="149">
        <f t="shared" si="7"/>
        <v>-5.4518195447730679E-3</v>
      </c>
      <c r="AS25" s="104">
        <f t="shared" si="19"/>
        <v>-850</v>
      </c>
      <c r="AT25" s="146">
        <f t="shared" si="8"/>
        <v>-5.2659620602921679E-3</v>
      </c>
      <c r="BA25" s="90"/>
      <c r="BF25" s="123" t="s">
        <v>208</v>
      </c>
      <c r="BJ25" s="104">
        <f>BJ24-BJ18</f>
        <v>16927.142465753423</v>
      </c>
      <c r="BK25" s="104">
        <f>BK24-BK18</f>
        <v>7633.7142465753332</v>
      </c>
      <c r="BL25" s="120">
        <f>BL24-BL18</f>
        <v>9705.4356712328663</v>
      </c>
      <c r="BO25" s="123" t="s">
        <v>261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1628</v>
      </c>
      <c r="AP26" s="147">
        <f t="shared" si="5"/>
        <v>1.2203898050974512E-2</v>
      </c>
      <c r="AQ26" s="65">
        <f t="shared" ref="AQ26:AS26" si="21">AQ23+AQ25</f>
        <v>3542.7999999999884</v>
      </c>
      <c r="AR26" s="148">
        <f t="shared" si="7"/>
        <v>2.4143382854027451E-2</v>
      </c>
      <c r="AS26" s="65">
        <f t="shared" si="21"/>
        <v>5968.0799999999872</v>
      </c>
      <c r="AT26" s="150">
        <f t="shared" si="8"/>
        <v>3.6973744532692254E-2</v>
      </c>
      <c r="BF26" s="63" t="s">
        <v>262</v>
      </c>
      <c r="BG26" s="64"/>
      <c r="BH26" s="64"/>
      <c r="BI26" s="64"/>
      <c r="BJ26" s="65">
        <f>BJ25</f>
        <v>16927.142465753423</v>
      </c>
      <c r="BK26" s="65">
        <f>BJ26+BK25</f>
        <v>24560.856712328758</v>
      </c>
      <c r="BL26" s="66">
        <f>+BK26+BL25</f>
        <v>34266.292383561624</v>
      </c>
      <c r="BO26" s="123" t="s">
        <v>228</v>
      </c>
      <c r="BR26" s="104">
        <f>IF(ISERROR('Données à saisir'!$J$73/12),0,'Données à saisir'!$J$73/12)</f>
        <v>0</v>
      </c>
      <c r="BS26" s="104">
        <f>IF(ISERROR('Données à saisir'!$J$73/12),0,'Données à saisir'!$J$73/12)</f>
        <v>0</v>
      </c>
      <c r="BT26" s="104">
        <f>IF(ISERROR('Données à saisir'!$J$73/12),0,'Données à saisir'!$J$73/12)</f>
        <v>0</v>
      </c>
      <c r="BU26" s="104">
        <f>IF(ISERROR('Données à saisir'!$J$73/12),0,'Données à saisir'!$J$73/12)</f>
        <v>0</v>
      </c>
      <c r="BV26" s="120">
        <f>IF(ISERROR('Données à saisir'!$J$73/12),0,'Données à saisir'!$J$73/12)</f>
        <v>0</v>
      </c>
      <c r="BY26" s="196">
        <f>IF(ISERROR('Données à saisir'!$J$73/12),0,'Données à saisir'!$J$73/12)</f>
        <v>0</v>
      </c>
      <c r="BZ26" s="104">
        <f>IF(ISERROR('Données à saisir'!$J$73/12),0,'Données à saisir'!$J$73/12)</f>
        <v>0</v>
      </c>
      <c r="CA26" s="104">
        <f>IF(ISERROR('Données à saisir'!$J$73/12),0,'Données à saisir'!$J$73/12)</f>
        <v>0</v>
      </c>
      <c r="CB26" s="104">
        <f>IF(ISERROR('Données à saisir'!$J$73/12),0,'Données à saisir'!$J$73/12)</f>
        <v>0</v>
      </c>
      <c r="CC26" s="104">
        <f>IF(ISERROR('Données à saisir'!$J$73/12),0,'Données à saisir'!$J$73/12)</f>
        <v>0</v>
      </c>
      <c r="CD26" s="104">
        <f>IF(ISERROR('Données à saisir'!$J$73/12),0,'Données à saisir'!$J$73/12)</f>
        <v>0</v>
      </c>
      <c r="CE26" s="132">
        <f>IF(ISERROR('Données à saisir'!$J$73/12),0,'Données à saisir'!$J$73/12)</f>
        <v>0</v>
      </c>
      <c r="CF26" s="201">
        <f t="shared" si="20"/>
        <v>0</v>
      </c>
    </row>
    <row r="27" spans="2:84" ht="15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1383.8</v>
      </c>
      <c r="AP27" s="147">
        <f t="shared" si="5"/>
        <v>1.0373313343328335E-2</v>
      </c>
      <c r="AQ27" s="65">
        <f>IF(ISERROR(AQ26-AH45),AQ26,(AQ26-AH45))</f>
        <v>3011.3799999999901</v>
      </c>
      <c r="AR27" s="148">
        <f t="shared" si="7"/>
        <v>2.0521875425923333E-2</v>
      </c>
      <c r="AS27" s="65">
        <f>IF(ISERROR(AS26-AI45),AS26,(AS26-AI45))</f>
        <v>5072.8679999999895</v>
      </c>
      <c r="AT27" s="150">
        <f t="shared" si="8"/>
        <v>3.1427682852788415E-2</v>
      </c>
      <c r="BO27" s="123" t="s">
        <v>229</v>
      </c>
      <c r="BR27" s="104">
        <f>BR19*'Données à saisir'!$D$123</f>
        <v>2240</v>
      </c>
      <c r="BS27" s="104">
        <f>BS19*'Données à saisir'!$D$123</f>
        <v>2352</v>
      </c>
      <c r="BT27" s="104">
        <f>BT19*'Données à saisir'!$D$123</f>
        <v>2464.0000000000005</v>
      </c>
      <c r="BU27" s="104">
        <f>BU19*'Données à saisir'!$D$123</f>
        <v>2576.0000000000005</v>
      </c>
      <c r="BV27" s="120">
        <f>BV19*'Données à saisir'!$D$123</f>
        <v>2800.0000000000005</v>
      </c>
      <c r="BY27" s="196">
        <f>BY19*'Données à saisir'!$D$123</f>
        <v>3080.0000000000005</v>
      </c>
      <c r="BZ27" s="104">
        <f>BZ19*'Données à saisir'!$D$123</f>
        <v>3360.0000000000005</v>
      </c>
      <c r="CA27" s="104">
        <f>CA19*'Données à saisir'!$D$123</f>
        <v>3472.0000000000005</v>
      </c>
      <c r="CB27" s="104">
        <f>CB19*'Données à saisir'!$D$123</f>
        <v>3584.0000000000005</v>
      </c>
      <c r="CC27" s="104">
        <f>CC19*'Données à saisir'!$D$123</f>
        <v>3696.0000000000005</v>
      </c>
      <c r="CD27" s="104">
        <f>CD19*'Données à saisir'!$D$123</f>
        <v>3808.0000000000005</v>
      </c>
      <c r="CE27" s="132">
        <f>CE19*'Données à saisir'!$D$123</f>
        <v>3920.0000000000005</v>
      </c>
      <c r="CF27" s="201">
        <f t="shared" si="20"/>
        <v>37352</v>
      </c>
    </row>
    <row r="28" spans="2:84" ht="15" customHeight="1" thickBot="1" x14ac:dyDescent="0.3">
      <c r="B28" s="26"/>
      <c r="C28" s="327" t="str">
        <f>IF(ISBLANK('Données à saisir'!B7),"",('Données à saisir'!B7))</f>
        <v>Restaurant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5903.8</v>
      </c>
      <c r="AP28" s="145">
        <f t="shared" si="5"/>
        <v>4.4256371814092955E-2</v>
      </c>
      <c r="AQ28" s="104">
        <f t="shared" ref="AQ28:AS28" si="22">AQ27+AQ22</f>
        <v>7531.3799999999901</v>
      </c>
      <c r="AR28" s="149">
        <f t="shared" si="7"/>
        <v>5.132465585389117E-2</v>
      </c>
      <c r="AS28" s="104">
        <f t="shared" si="22"/>
        <v>9592.8679999999895</v>
      </c>
      <c r="AT28" s="151">
        <f t="shared" si="8"/>
        <v>5.9430210514577357E-2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2295.8333333333335</v>
      </c>
      <c r="BS28" s="104">
        <f t="shared" ref="BS28:CE28" si="23">$AG$17/12</f>
        <v>2295.8333333333335</v>
      </c>
      <c r="BT28" s="104">
        <f t="shared" si="23"/>
        <v>2295.8333333333335</v>
      </c>
      <c r="BU28" s="104">
        <f t="shared" si="23"/>
        <v>2295.8333333333335</v>
      </c>
      <c r="BV28" s="120">
        <f t="shared" si="23"/>
        <v>2295.8333333333335</v>
      </c>
      <c r="BY28" s="196">
        <f t="shared" si="23"/>
        <v>2295.8333333333335</v>
      </c>
      <c r="BZ28" s="104">
        <f t="shared" si="23"/>
        <v>2295.8333333333335</v>
      </c>
      <c r="CA28" s="104">
        <f t="shared" si="23"/>
        <v>2295.8333333333335</v>
      </c>
      <c r="CB28" s="104">
        <f t="shared" si="23"/>
        <v>2295.8333333333335</v>
      </c>
      <c r="CC28" s="104">
        <f t="shared" si="23"/>
        <v>2295.8333333333335</v>
      </c>
      <c r="CD28" s="104">
        <f t="shared" si="23"/>
        <v>2295.8333333333335</v>
      </c>
      <c r="CE28" s="132">
        <f t="shared" si="23"/>
        <v>2295.8333333333335</v>
      </c>
      <c r="CF28" s="201">
        <f t="shared" si="20"/>
        <v>27549.999999999996</v>
      </c>
    </row>
    <row r="29" spans="2:84" ht="15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13200</v>
      </c>
      <c r="AH29" s="62">
        <f>IF(ISBLANK('Données à saisir'!C88),0,'Données à saisir'!C88)</f>
        <v>13300</v>
      </c>
      <c r="AI29" s="54">
        <f>IF(ISBLANK('Données à saisir'!D88),0,'Données à saisir'!D88)</f>
        <v>13400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1666.6666666666667</v>
      </c>
      <c r="BS30" s="119">
        <f t="shared" si="24"/>
        <v>1666.6666666666667</v>
      </c>
      <c r="BT30" s="119">
        <f t="shared" si="24"/>
        <v>1666.6666666666667</v>
      </c>
      <c r="BU30" s="119">
        <f t="shared" si="24"/>
        <v>1666.6666666666667</v>
      </c>
      <c r="BV30" s="209">
        <f t="shared" si="24"/>
        <v>1666.6666666666667</v>
      </c>
      <c r="BY30" s="210">
        <f t="shared" si="25"/>
        <v>1666.6666666666667</v>
      </c>
      <c r="BZ30" s="119">
        <f t="shared" si="25"/>
        <v>1666.6666666666667</v>
      </c>
      <c r="CA30" s="119">
        <f t="shared" si="25"/>
        <v>1666.6666666666667</v>
      </c>
      <c r="CB30" s="119">
        <f t="shared" si="25"/>
        <v>1666.6666666666667</v>
      </c>
      <c r="CC30" s="119">
        <f t="shared" si="25"/>
        <v>1666.6666666666667</v>
      </c>
      <c r="CD30" s="119">
        <f t="shared" si="25"/>
        <v>1666.6666666666667</v>
      </c>
      <c r="CE30" s="211">
        <f t="shared" si="25"/>
        <v>1666.6666666666667</v>
      </c>
      <c r="CF30" s="213">
        <f t="shared" si="20"/>
        <v>20000</v>
      </c>
    </row>
    <row r="31" spans="2:84" ht="15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420</v>
      </c>
      <c r="Y31" s="110">
        <f>SUM(Y33:Y39)</f>
        <v>420</v>
      </c>
      <c r="Z31" s="111">
        <f>SUM(Z33:Z39)</f>
        <v>420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1200</v>
      </c>
      <c r="BS31" s="104">
        <f t="shared" si="24"/>
        <v>1200</v>
      </c>
      <c r="BT31" s="104">
        <f t="shared" si="24"/>
        <v>1200</v>
      </c>
      <c r="BU31" s="104">
        <f t="shared" si="24"/>
        <v>1200</v>
      </c>
      <c r="BV31" s="120">
        <f t="shared" si="24"/>
        <v>1200</v>
      </c>
      <c r="BY31" s="196">
        <f t="shared" si="25"/>
        <v>1200</v>
      </c>
      <c r="BZ31" s="104">
        <f t="shared" si="25"/>
        <v>1200</v>
      </c>
      <c r="CA31" s="104">
        <f t="shared" si="25"/>
        <v>1200</v>
      </c>
      <c r="CB31" s="104">
        <f t="shared" si="25"/>
        <v>1200</v>
      </c>
      <c r="CC31" s="104">
        <f t="shared" si="25"/>
        <v>1200</v>
      </c>
      <c r="CD31" s="104">
        <f t="shared" si="25"/>
        <v>1200</v>
      </c>
      <c r="CE31" s="132">
        <f t="shared" si="25"/>
        <v>1200</v>
      </c>
      <c r="CF31" s="201">
        <f t="shared" si="20"/>
        <v>14400</v>
      </c>
    </row>
    <row r="32" spans="2:84" ht="15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87600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1333.3333333333333</v>
      </c>
      <c r="BS32" s="104">
        <f t="shared" si="24"/>
        <v>1333.3333333333333</v>
      </c>
      <c r="BT32" s="104">
        <f t="shared" si="24"/>
        <v>1333.3333333333333</v>
      </c>
      <c r="BU32" s="104">
        <f t="shared" si="24"/>
        <v>1333.3333333333333</v>
      </c>
      <c r="BV32" s="120">
        <f t="shared" si="24"/>
        <v>1333.3333333333333</v>
      </c>
      <c r="BY32" s="196">
        <f t="shared" si="25"/>
        <v>1333.3333333333333</v>
      </c>
      <c r="BZ32" s="104">
        <f t="shared" si="25"/>
        <v>1333.3333333333333</v>
      </c>
      <c r="CA32" s="104">
        <f t="shared" si="25"/>
        <v>1333.3333333333333</v>
      </c>
      <c r="CB32" s="104">
        <f t="shared" si="25"/>
        <v>1333.3333333333333</v>
      </c>
      <c r="CC32" s="104">
        <f t="shared" si="25"/>
        <v>1333.3333333333333</v>
      </c>
      <c r="CD32" s="104">
        <f t="shared" si="25"/>
        <v>1333.3333333333333</v>
      </c>
      <c r="CE32" s="132">
        <f t="shared" si="25"/>
        <v>1333.3333333333333</v>
      </c>
      <c r="CF32" s="201">
        <f t="shared" si="20"/>
        <v>16000.000000000002</v>
      </c>
    </row>
    <row r="33" spans="2:84" ht="15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933.33333333333337</v>
      </c>
      <c r="BS33" s="104">
        <f t="shared" si="24"/>
        <v>933.33333333333337</v>
      </c>
      <c r="BT33" s="104">
        <f t="shared" si="24"/>
        <v>933.33333333333337</v>
      </c>
      <c r="BU33" s="104">
        <f t="shared" si="24"/>
        <v>933.33333333333337</v>
      </c>
      <c r="BV33" s="120">
        <f t="shared" si="24"/>
        <v>933.33333333333337</v>
      </c>
      <c r="BY33" s="196">
        <f t="shared" si="25"/>
        <v>933.33333333333337</v>
      </c>
      <c r="BZ33" s="104">
        <f t="shared" si="25"/>
        <v>933.33333333333337</v>
      </c>
      <c r="CA33" s="104">
        <f t="shared" si="25"/>
        <v>933.33333333333337</v>
      </c>
      <c r="CB33" s="104">
        <f t="shared" si="25"/>
        <v>933.33333333333337</v>
      </c>
      <c r="CC33" s="104">
        <f t="shared" si="25"/>
        <v>933.33333333333337</v>
      </c>
      <c r="CD33" s="104">
        <f t="shared" si="25"/>
        <v>933.33333333333337</v>
      </c>
      <c r="CE33" s="132">
        <f t="shared" si="25"/>
        <v>933.33333333333337</v>
      </c>
      <c r="CF33" s="201">
        <f t="shared" si="20"/>
        <v>11200.000000000002</v>
      </c>
    </row>
    <row r="34" spans="2:84" ht="15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5133.333333333333</v>
      </c>
      <c r="BS34" s="65">
        <f t="shared" ref="BS34:CE34" si="27">SUM(BS30:BS33)</f>
        <v>5133.333333333333</v>
      </c>
      <c r="BT34" s="65">
        <f t="shared" si="27"/>
        <v>5133.333333333333</v>
      </c>
      <c r="BU34" s="65">
        <f t="shared" si="27"/>
        <v>5133.333333333333</v>
      </c>
      <c r="BV34" s="66">
        <f t="shared" si="27"/>
        <v>5133.333333333333</v>
      </c>
      <c r="BY34" s="197">
        <f t="shared" si="27"/>
        <v>5133.333333333333</v>
      </c>
      <c r="BZ34" s="65">
        <f t="shared" si="27"/>
        <v>5133.333333333333</v>
      </c>
      <c r="CA34" s="65">
        <f t="shared" si="27"/>
        <v>5133.333333333333</v>
      </c>
      <c r="CB34" s="65">
        <f t="shared" si="27"/>
        <v>5133.333333333333</v>
      </c>
      <c r="CC34" s="65">
        <f t="shared" si="27"/>
        <v>5133.333333333333</v>
      </c>
      <c r="CD34" s="65">
        <f t="shared" si="27"/>
        <v>5133.333333333333</v>
      </c>
      <c r="CE34" s="131">
        <f t="shared" si="27"/>
        <v>5133.333333333333</v>
      </c>
      <c r="CF34" s="200">
        <f t="shared" si="20"/>
        <v>61600.000000000007</v>
      </c>
    </row>
    <row r="35" spans="2:84" ht="15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68498</v>
      </c>
      <c r="AH35" s="65">
        <f>AH16-AH17</f>
        <v>76382.799999999988</v>
      </c>
      <c r="AI35" s="66">
        <f>AI16-AI17</f>
        <v>85728.079999999987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62.5</v>
      </c>
      <c r="BS35" s="104">
        <f>$AG42/12</f>
        <v>62.5</v>
      </c>
      <c r="BT35" s="104">
        <f>$AG42/12</f>
        <v>62.5</v>
      </c>
      <c r="BU35" s="104">
        <f>$AG42/12</f>
        <v>62.5</v>
      </c>
      <c r="BV35" s="120">
        <f>$AG42/12</f>
        <v>62.5</v>
      </c>
      <c r="BY35" s="196">
        <f t="shared" ref="BY35:CE35" si="28">$AG42/12</f>
        <v>62.5</v>
      </c>
      <c r="BZ35" s="104">
        <f t="shared" si="28"/>
        <v>62.5</v>
      </c>
      <c r="CA35" s="104">
        <f t="shared" si="28"/>
        <v>62.5</v>
      </c>
      <c r="CB35" s="104">
        <f t="shared" si="28"/>
        <v>62.5</v>
      </c>
      <c r="CC35" s="104">
        <f t="shared" si="28"/>
        <v>62.5</v>
      </c>
      <c r="CD35" s="104">
        <f t="shared" si="28"/>
        <v>62.5</v>
      </c>
      <c r="CE35" s="132">
        <f t="shared" si="28"/>
        <v>62.5</v>
      </c>
      <c r="CF35" s="201">
        <f t="shared" si="20"/>
        <v>750</v>
      </c>
    </row>
    <row r="36" spans="2:84" ht="15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87331.666666666657</v>
      </c>
      <c r="BS36" s="65">
        <f>SUM(BS24:BS29,BS34:BS35)</f>
        <v>9843.6666666666679</v>
      </c>
      <c r="BT36" s="65">
        <f>SUM(BT24:BT29,BT34:BT35)</f>
        <v>9955.6666666666679</v>
      </c>
      <c r="BU36" s="65">
        <f>SUM(BU24:BU29,BU34:BU35)</f>
        <v>10067.666666666668</v>
      </c>
      <c r="BV36" s="66">
        <f>SUM(BV24:BV29,BV34:BV35)</f>
        <v>10291.666666666668</v>
      </c>
      <c r="BY36" s="197">
        <f t="shared" ref="BY36:CE36" si="29">SUM(BY24:BY29,BY34:BY35)</f>
        <v>10571.666666666668</v>
      </c>
      <c r="BZ36" s="65">
        <f t="shared" si="29"/>
        <v>10851.666666666668</v>
      </c>
      <c r="CA36" s="65">
        <f t="shared" si="29"/>
        <v>10963.666666666668</v>
      </c>
      <c r="CB36" s="65">
        <f t="shared" si="29"/>
        <v>11075.666666666668</v>
      </c>
      <c r="CC36" s="65">
        <f t="shared" si="29"/>
        <v>11187.666666666668</v>
      </c>
      <c r="CD36" s="65">
        <f t="shared" si="29"/>
        <v>11299.666666666668</v>
      </c>
      <c r="CE36" s="131">
        <f t="shared" si="29"/>
        <v>11411.666666666668</v>
      </c>
      <c r="CF36" s="200">
        <f t="shared" si="20"/>
        <v>204851.99999999994</v>
      </c>
    </row>
    <row r="37" spans="2:84" ht="15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33000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20000</v>
      </c>
      <c r="AH37" s="57">
        <f>'Données à saisir'!C133</f>
        <v>21000</v>
      </c>
      <c r="AI37" s="53">
        <f>'Données à saisir'!D133</f>
        <v>22000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95600</v>
      </c>
      <c r="BS37" s="65">
        <f>SUM(BS15:BS20)</f>
        <v>8400</v>
      </c>
      <c r="BT37" s="65">
        <f>SUM(BT15:BT20)</f>
        <v>8800</v>
      </c>
      <c r="BU37" s="65">
        <f>SUM(BU15:BU20)</f>
        <v>9200</v>
      </c>
      <c r="BV37" s="66">
        <f>SUM(BV15:BV20)</f>
        <v>10000</v>
      </c>
      <c r="BY37" s="197">
        <f t="shared" ref="BY37:CE37" si="30">SUM(BY15:BY20)</f>
        <v>11000</v>
      </c>
      <c r="BZ37" s="65">
        <f t="shared" si="30"/>
        <v>12000</v>
      </c>
      <c r="CA37" s="65">
        <f t="shared" si="30"/>
        <v>12400</v>
      </c>
      <c r="CB37" s="65">
        <f t="shared" si="30"/>
        <v>12800</v>
      </c>
      <c r="CC37" s="65">
        <f t="shared" si="30"/>
        <v>13200</v>
      </c>
      <c r="CD37" s="65">
        <f t="shared" si="30"/>
        <v>13600</v>
      </c>
      <c r="CE37" s="131">
        <f t="shared" si="30"/>
        <v>14000</v>
      </c>
      <c r="CF37" s="200">
        <f t="shared" ref="CF37" si="31">SUM(BR37:CE37)</f>
        <v>221000</v>
      </c>
    </row>
    <row r="38" spans="2:84" ht="15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33000</v>
      </c>
      <c r="T38" s="44"/>
      <c r="X38" s="113"/>
      <c r="Y38" s="113"/>
      <c r="Z38" s="236"/>
      <c r="AC38" s="123" t="s">
        <v>24</v>
      </c>
      <c r="AG38" s="104">
        <f>'Données à saisir'!B139</f>
        <v>14400</v>
      </c>
      <c r="AH38" s="104">
        <f>'Données à saisir'!C139</f>
        <v>15120</v>
      </c>
      <c r="AI38" s="120">
        <f>'Données à saisir'!D139</f>
        <v>15840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1023.3424657534247</v>
      </c>
      <c r="BB38" s="177">
        <f>BB12/365*$AZ38</f>
        <v>1125.6767123287673</v>
      </c>
      <c r="BC38" s="178">
        <f>BC12/365*$AZ38</f>
        <v>1238.2443835616439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8268.333333333343</v>
      </c>
      <c r="BT38" s="104">
        <f>BS40</f>
        <v>6824.6666666666752</v>
      </c>
      <c r="BU38" s="104">
        <f>BT40</f>
        <v>5669.0000000000073</v>
      </c>
      <c r="BV38" s="159">
        <f>BU40</f>
        <v>4801.3333333333394</v>
      </c>
      <c r="BY38" s="196">
        <f>BV40</f>
        <v>4509.6666666666715</v>
      </c>
      <c r="BZ38" s="104">
        <f t="shared" ref="BZ38:CE38" si="32">BY40</f>
        <v>4938.0000000000036</v>
      </c>
      <c r="CA38" s="104">
        <f t="shared" si="32"/>
        <v>6086.3333333333358</v>
      </c>
      <c r="CB38" s="104">
        <f t="shared" si="32"/>
        <v>7522.6666666666679</v>
      </c>
      <c r="CC38" s="104">
        <f t="shared" si="32"/>
        <v>9247</v>
      </c>
      <c r="CD38" s="104">
        <f t="shared" si="32"/>
        <v>11259.333333333332</v>
      </c>
      <c r="CE38" s="132">
        <f t="shared" si="32"/>
        <v>13559.666666666664</v>
      </c>
      <c r="CF38" s="201"/>
    </row>
    <row r="39" spans="2:84" ht="15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16000</v>
      </c>
      <c r="AH39" s="57">
        <f>'Données à saisir'!C134</f>
        <v>18000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-1023.3424657534247</v>
      </c>
      <c r="BB39" s="174">
        <f>BB36-BB38</f>
        <v>-1125.6767123287673</v>
      </c>
      <c r="BC39" s="175">
        <f>BC36-BC38</f>
        <v>-1238.2443835616439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8268.333333333343</v>
      </c>
      <c r="BS39" s="57">
        <f t="shared" ref="BS39:CE39" si="33">BS37-BS36</f>
        <v>-1443.6666666666679</v>
      </c>
      <c r="BT39" s="57">
        <f t="shared" si="33"/>
        <v>-1155.6666666666679</v>
      </c>
      <c r="BU39" s="57">
        <f t="shared" si="33"/>
        <v>-867.66666666666788</v>
      </c>
      <c r="BV39" s="68">
        <f t="shared" si="33"/>
        <v>-291.66666666666788</v>
      </c>
      <c r="BW39" s="1"/>
      <c r="BX39" s="1"/>
      <c r="BY39" s="215">
        <f t="shared" si="33"/>
        <v>428.33333333333212</v>
      </c>
      <c r="BZ39" s="57">
        <f t="shared" si="33"/>
        <v>1148.3333333333321</v>
      </c>
      <c r="CA39" s="57">
        <f t="shared" si="33"/>
        <v>1436.3333333333321</v>
      </c>
      <c r="CB39" s="57">
        <f t="shared" si="33"/>
        <v>1724.3333333333321</v>
      </c>
      <c r="CC39" s="57">
        <f t="shared" si="33"/>
        <v>2012.3333333333321</v>
      </c>
      <c r="CD39" s="57">
        <f t="shared" si="33"/>
        <v>2300.3333333333321</v>
      </c>
      <c r="CE39" s="74">
        <f t="shared" si="33"/>
        <v>2588.3333333333321</v>
      </c>
      <c r="CF39" s="212"/>
    </row>
    <row r="40" spans="2:84" ht="15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54600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11200</v>
      </c>
      <c r="AH40" s="104">
        <f>IF('Données à saisir'!C136="Oui",'Données à saisir'!H147,'Données à saisir'!C147)</f>
        <v>12600</v>
      </c>
      <c r="AI40" s="120">
        <f>IF('Données à saisir'!C136="Oui",'Données à saisir'!I147,'Données à saisir'!D147)</f>
        <v>14699.999999999998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8268.333333333343</v>
      </c>
      <c r="BS40" s="65">
        <f>BS38+BS39</f>
        <v>6824.6666666666752</v>
      </c>
      <c r="BT40" s="65">
        <f>BT38+BT39</f>
        <v>5669.0000000000073</v>
      </c>
      <c r="BU40" s="65">
        <f>BU38+BU39</f>
        <v>4801.3333333333394</v>
      </c>
      <c r="BV40" s="66">
        <f t="shared" ref="BV40:CE40" si="34">BV38+BV39</f>
        <v>4509.6666666666715</v>
      </c>
      <c r="BY40" s="197">
        <f t="shared" si="34"/>
        <v>4938.0000000000036</v>
      </c>
      <c r="BZ40" s="65">
        <f t="shared" si="34"/>
        <v>6086.3333333333358</v>
      </c>
      <c r="CA40" s="65">
        <f t="shared" si="34"/>
        <v>7522.6666666666679</v>
      </c>
      <c r="CB40" s="65">
        <f t="shared" si="34"/>
        <v>9247</v>
      </c>
      <c r="CC40" s="65">
        <f t="shared" si="34"/>
        <v>11259.333333333332</v>
      </c>
      <c r="CD40" s="65">
        <f t="shared" si="34"/>
        <v>13559.666666666664</v>
      </c>
      <c r="CE40" s="131">
        <f t="shared" si="34"/>
        <v>16147.999999999996</v>
      </c>
      <c r="CF40" s="200"/>
    </row>
    <row r="41" spans="2:84" ht="15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 t="str">
        <f>IF(ISBLANK('Données à saisir'!C61),"",'Données à saisir'!C61)</f>
        <v/>
      </c>
      <c r="O41" s="96" t="str">
        <f>IF(ISBLANK('Données à saisir'!D61),"",'Données à saisir'!D61)</f>
        <v/>
      </c>
      <c r="Q41" s="42">
        <f>IF(ISBLANK('Données à saisir'!B61),0,'Données à saisir'!B61)</f>
        <v>54600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6898</v>
      </c>
      <c r="AH41" s="65">
        <f t="shared" ref="AH41:AI41" si="35">AH35-SUM(AH36:AH40)</f>
        <v>8862.7999999999884</v>
      </c>
      <c r="AI41" s="66">
        <f t="shared" si="35"/>
        <v>11338.079999999987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750</v>
      </c>
      <c r="AH42" s="57">
        <f>'Données à saisir'!C90+SUM('Données à saisir'!H70:H72)</f>
        <v>800</v>
      </c>
      <c r="AI42" s="53">
        <f>'Données à saisir'!D90+SUM('Données à saisir'!I70:I72)</f>
        <v>850</v>
      </c>
      <c r="AL42" s="63" t="s">
        <v>162</v>
      </c>
      <c r="AM42" s="64"/>
      <c r="AN42" s="64"/>
      <c r="AO42" s="131">
        <f>AO27</f>
        <v>1383.8</v>
      </c>
      <c r="AP42" s="136"/>
      <c r="AQ42" s="131">
        <f>AQ27</f>
        <v>3011.3799999999901</v>
      </c>
      <c r="AR42" s="136"/>
      <c r="AS42" s="128">
        <f>AS27</f>
        <v>5072.8679999999895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4520</v>
      </c>
      <c r="AH43" s="57">
        <f>'Données à saisir'!D39</f>
        <v>4520</v>
      </c>
      <c r="AI43" s="53">
        <f>'Données à saisir'!E39</f>
        <v>4520</v>
      </c>
      <c r="AL43" s="122" t="s">
        <v>163</v>
      </c>
      <c r="AM43" s="1"/>
      <c r="AN43" s="1"/>
      <c r="AO43" s="132">
        <f>AO22</f>
        <v>4520</v>
      </c>
      <c r="AP43" s="137"/>
      <c r="AQ43" s="132">
        <f>AQ22</f>
        <v>4520</v>
      </c>
      <c r="AR43" s="137"/>
      <c r="AS43" s="127">
        <f>AS22</f>
        <v>4520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1628</v>
      </c>
      <c r="AH44" s="65">
        <f t="shared" ref="AH44:AI44" si="37">AH41-AH42-AH43</f>
        <v>3542.7999999999884</v>
      </c>
      <c r="AI44" s="66">
        <f t="shared" si="37"/>
        <v>5968.0799999999872</v>
      </c>
      <c r="AL44" s="63" t="s">
        <v>160</v>
      </c>
      <c r="AM44" s="64"/>
      <c r="AN44" s="64"/>
      <c r="AO44" s="131">
        <f>AO42+AO43</f>
        <v>5903.8</v>
      </c>
      <c r="AP44" s="136"/>
      <c r="AQ44" s="131">
        <f t="shared" ref="AQ44:AS44" si="38">AQ42+AQ43</f>
        <v>7531.3799999999901</v>
      </c>
      <c r="AR44" s="136"/>
      <c r="AS44" s="128">
        <f t="shared" si="38"/>
        <v>9592.8679999999895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244.2</v>
      </c>
      <c r="AH45" s="57">
        <f>IF(AC45="Impôt sur les sociétés",IF(AH44&lt;0,0,IF(AH44&gt;38120,38120*0.15+(AH44-38120)*25%,AH44*0.15)),"")</f>
        <v>531.41999999999825</v>
      </c>
      <c r="AI45" s="53">
        <f>+IF(AC45="Impôt sur les sociétés",IF(AI44&lt;0,0,IF(AI44&gt;38120,38120*0.15+(AI44-38120)*25%,AI44*0.15)),"")</f>
        <v>895.21199999999806</v>
      </c>
      <c r="AL45" s="123" t="s">
        <v>164</v>
      </c>
      <c r="AO45" s="132">
        <f>IF(ISERROR(SUM('Données à saisir'!J70:J72)),0,SUM('Données à saisir'!J70:J72))</f>
        <v>0</v>
      </c>
      <c r="AP45" s="137"/>
      <c r="AQ45" s="132">
        <f>SUM('Données à saisir'!K70:K72)</f>
        <v>0</v>
      </c>
      <c r="AR45" s="137"/>
      <c r="AS45" s="127">
        <f>SUM('Données à saisir'!L70:L72)</f>
        <v>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5903.8</v>
      </c>
      <c r="AP46" s="138"/>
      <c r="AQ46" s="133">
        <f>AQ44-AQ45</f>
        <v>7531.3799999999901</v>
      </c>
      <c r="AR46" s="138"/>
      <c r="AS46" s="129">
        <f>AS44-AS45</f>
        <v>9592.8679999999895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" customHeight="1" x14ac:dyDescent="0.25">
      <c r="B47" s="26"/>
      <c r="C47" s="294">
        <f ca="1">TODAY()</f>
        <v>44972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1383.8</v>
      </c>
      <c r="AH47" s="65">
        <f t="shared" ref="AH47:AI47" si="39">AH44-SUM(AH45)</f>
        <v>3011.3799999999901</v>
      </c>
      <c r="AI47" s="66">
        <f t="shared" si="39"/>
        <v>5072.8679999999895</v>
      </c>
      <c r="BO47" s="1"/>
      <c r="BR47" s="98"/>
      <c r="BS47" s="98"/>
      <c r="BT47" s="98"/>
      <c r="BU47" s="98"/>
      <c r="BV47" s="98"/>
    </row>
    <row r="48" spans="2:84" ht="15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87600</v>
      </c>
      <c r="T48" s="109" t="s">
        <v>151</v>
      </c>
      <c r="U48" s="108"/>
      <c r="V48" s="108"/>
      <c r="W48" s="108"/>
      <c r="X48" s="112">
        <f>SUM(X31,X40)</f>
        <v>4520</v>
      </c>
      <c r="Y48" s="112">
        <f>SUM(Y31,Y40)</f>
        <v>4520</v>
      </c>
      <c r="Z48" s="118">
        <f>SUM(Z31,Z40)</f>
        <v>4520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2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" hidden="1" customHeight="1" x14ac:dyDescent="0.25">
      <c r="X52" s="90"/>
      <c r="Y52" s="90"/>
      <c r="Z52" s="90"/>
      <c r="AC52" t="s">
        <v>116</v>
      </c>
      <c r="AG52" s="90">
        <f>AG35-SUM(AG36:AG38,AG42:AG43)</f>
        <v>28828</v>
      </c>
      <c r="AH52" s="90">
        <f>AH35-SUM(AH36:AH38,AH42:AH43)</f>
        <v>34142.799999999988</v>
      </c>
      <c r="AI52" s="90">
        <f>AI35-SUM(AI36:AI38,AI42:AI43)</f>
        <v>41668.079999999987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" customHeight="1" x14ac:dyDescent="0.25">
      <c r="AI53" s="90"/>
    </row>
    <row r="54" spans="2:84" ht="15" customHeight="1" x14ac:dyDescent="0.25">
      <c r="AG54" s="90"/>
    </row>
    <row r="55" spans="2:84" ht="15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5" x14ac:dyDescent="0.25"/>
  <cols>
    <col min="1" max="1" width="12.42578125" bestFit="1" customWidth="1"/>
    <col min="8" max="8" width="12.28515625" customWidth="1"/>
  </cols>
  <sheetData>
    <row r="6" spans="1:9" ht="18.75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5" customHeight="1" x14ac:dyDescent="0.25"/>
    <row r="11" spans="1:9" ht="27.75" customHeight="1" x14ac:dyDescent="0.25"/>
    <row r="12" spans="1:9" ht="27.75" customHeight="1" x14ac:dyDescent="0.3">
      <c r="A12" s="270" t="s">
        <v>297</v>
      </c>
    </row>
    <row r="13" spans="1:9" ht="12" customHeight="1" x14ac:dyDescent="0.25"/>
    <row r="14" spans="1:9" ht="13.5" customHeight="1" x14ac:dyDescent="0.25">
      <c r="B14" s="269" t="s">
        <v>299</v>
      </c>
    </row>
    <row r="15" spans="1:9" ht="16.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5" customHeight="1" x14ac:dyDescent="0.25"/>
    <row r="17" spans="1:1" ht="16.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2023-02-15T19:35:31Z</dcterms:modified>
</cp:coreProperties>
</file>