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32F4286F-07C2-438A-87EC-DA20B47A3D0A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J41" i="1"/>
  <c r="K41" i="1" s="1"/>
  <c r="J43" i="1"/>
  <c r="K43" i="1"/>
  <c r="J45" i="1"/>
  <c r="K45" i="1" s="1"/>
  <c r="L45" i="1" s="1"/>
  <c r="M45" i="1" s="1"/>
  <c r="J46" i="1"/>
  <c r="K46" i="1" s="1"/>
  <c r="J47" i="1"/>
  <c r="CC29" i="2" l="1"/>
  <c r="BT29" i="2"/>
  <c r="BT37" i="2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F29" i="2" l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7" i="1" s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147" i="1" l="1"/>
  <c r="D147" i="1"/>
  <c r="H147" i="1"/>
  <c r="AH40" i="2" s="1"/>
  <c r="AQ20" i="2" s="1"/>
  <c r="AR20" i="2" s="1"/>
  <c r="H53" i="1"/>
  <c r="AQ15" i="2"/>
  <c r="BB12" i="2" s="1"/>
  <c r="BB13" i="2" s="1"/>
  <c r="AH16" i="2"/>
  <c r="AH35" i="2" s="1"/>
  <c r="AH52" i="2" s="1"/>
  <c r="AO18" i="2"/>
  <c r="AP18" i="2" s="1"/>
  <c r="BB11" i="2"/>
  <c r="BB36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I40" i="2" l="1"/>
  <c r="Z17" i="2" s="1"/>
  <c r="I53" i="1"/>
  <c r="J53" i="1" s="1"/>
  <c r="K53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J54" i="1"/>
  <c r="K54" i="1" s="1"/>
  <c r="M42" i="1"/>
  <c r="CF36" i="2"/>
  <c r="H48" i="1"/>
  <c r="H50" i="1"/>
  <c r="H51" i="1"/>
  <c r="I51" i="1" s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S20" i="2" l="1"/>
  <c r="BC16" i="2" s="1"/>
  <c r="BC17" i="2" s="1"/>
  <c r="AI41" i="2"/>
  <c r="AI44" i="2" s="1"/>
  <c r="BC18" i="2" s="1"/>
  <c r="L53" i="1"/>
  <c r="M53" i="1" s="1"/>
  <c r="AR16" i="2"/>
  <c r="BL16" i="2"/>
  <c r="BL18" i="2" s="1"/>
  <c r="AH47" i="2"/>
  <c r="BB18" i="2"/>
  <c r="AS18" i="2"/>
  <c r="AT18" i="2" s="1"/>
  <c r="AI45" i="2"/>
  <c r="AO23" i="2"/>
  <c r="AO26" i="2" s="1"/>
  <c r="AO27" i="2" s="1"/>
  <c r="BA17" i="2"/>
  <c r="L54" i="1"/>
  <c r="M54" i="1" s="1"/>
  <c r="BC19" i="2"/>
  <c r="BC20" i="2" s="1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I47" i="2" l="1"/>
  <c r="AT20" i="2"/>
  <c r="AS21" i="2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<sst xmlns="http://schemas.openxmlformats.org/spreadsheetml/2006/main" count="454" uniqueCount="305">
  <si>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</si>
  <si>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</si>
  <si>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</si>
  <si>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</si>
  <si>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</si>
  <si>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</si>
  <si>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</si>
  <si>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</si>
  <si>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</si>
  <si>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</si>
  <si>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</si>
  <si>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</si>
  <si>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</si>
  <si>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</si>
  <si>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</si>
  <si>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</si>
  <si>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</si>
  <si>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</si>
  <si>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</si>
  <si>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</si>
  <si>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</si>
  <si>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</si>
  <si>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</si>
  <si>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</si>
  <si>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</si>
  <si>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</si>
  <si>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</si>
  <si>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</si>
  <si>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</si>
  <si>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</si>
  <si>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</si>
  <si>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</si>
  <si>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</si>
  <si>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</si>
  <si>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</si>
  <si>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</si>
  <si>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</si>
  <si>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</si>
  <si>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</si>
  <si>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</si>
  <si>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</si>
  <si>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</si>
  <si>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</si>
  <si>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</si>
  <si>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</si>
  <si>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</si>
  <si>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</si>
  <si>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</si>
  <si>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</si>
  <si>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</si>
  <si>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</si>
  <si>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</si>
  <si>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</si>
  <si>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</si>
  <si>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</si>
  <si>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</si>
  <si>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</si>
  <si>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</si>
  <si>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</si>
  <si>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</si>
  <si>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</si>
  <si>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</si>
  <si>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</si>
  <si>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</si>
  <si>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</si>
  <si>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</si>
  <si>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</si>
  <si>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</si>
  <si>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</si>
  <si>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</si>
  <si>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</si>
  <si>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</si>
  <si>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</si>
  <si>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</si>
  <si>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</si>
  <si>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</si>
  <si>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</si>
  <si>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</si>
  <si>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</si>
  <si>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</si>
  <si>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</si>
  <si>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</si>
  <si>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</si>
  <si>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</si>
  <si>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</si>
  <si>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</si>
  <si>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</si>
  <si>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</si>
  <si>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</si>
  <si>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</si>
  <si>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</si>
  <si>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</si>
  <si>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</si>
  <si>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</si>
  <si>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</si>
  <si>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</si>
  <si>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</si>
  <si>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</si>
  <si>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</si>
  <si>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</si>
  <si>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</si>
  <si>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</si>
  <si>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</si>
  <si>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</si>
  <si>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</si>
  <si>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</si>
  <si>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</si>
  <si>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</si>
  <si>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</si>
  <si>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</si>
  <si>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</si>
  <si>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</si>
  <si>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</si>
  <si>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</si>
  <si>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</si>
  <si>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</si>
  <si>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</si>
  <si>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</si>
  <si>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</si>
  <si>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</si>
  <si>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</si>
  <si>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</si>
  <si>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</si>
  <si>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</si>
  <si>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</si>
  <si>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</si>
  <si>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</si>
  <si>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</si>
  <si>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</si>
  <si>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</si>
  <si>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</si>
  <si>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</si>
  <si>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</si>
  <si>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</si>
  <si>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</si>
  <si>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</si>
  <si>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</si>
  <si>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</si>
  <si>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</si>
  <si>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</si>
  <si>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</si>
  <si>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</si>
  <si>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</si>
  <si>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</si>
  <si>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</si>
  <si>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</si>
  <si>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</si>
  <si>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</si>
  <si>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</si>
  <si>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</si>
  <si>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</si>
  <si>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</si>
  <si>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</si>
  <si>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</si>
  <si>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</si>
  <si>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</si>
  <si>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</si>
  <si>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</si>
  <si>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</si>
  <si>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</si>
  <si>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</si>
  <si>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</si>
  <si>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</si>
  <si>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</si>
  <si>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</si>
  <si>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</si>
  <si>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</si>
  <si>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</si>
  <si>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</si>
  <si>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</si>
  <si>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</si>
  <si>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</si>
  <si>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</si>
  <si>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</si>
  <si>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</si>
  <si>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</si>
  <si>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</si>
  <si>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</si>
  <si>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</si>
  <si>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</si>
  <si>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</si>
  <si>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</si>
  <si>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</si>
  <si>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</si>
  <si>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</si>
  <si>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</si>
  <si>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</si>
  <si>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</si>
  <si>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</si>
  <si>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</si>
  <si>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</si>
  <si>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</si>
  <si>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</si>
  <si>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</si>
  <si>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</si>
  <si>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</si>
  <si>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</si>
  <si>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</si>
  <si>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</si>
  <si>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</si>
  <si>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</si>
  <si>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</si>
  <si>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</si>
  <si>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</si>
  <si>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</si>
  <si>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</si>
  <si>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</si>
  <si>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</si>
  <si>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</si>
  <si>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</si>
  <si>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</si>
  <si>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</si>
  <si>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</si>
  <si>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</si>
  <si>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</si>
  <si>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</si>
  <si>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</si>
  <si>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</si>
  <si>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</si>
  <si>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</si>
  <si>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</si>
  <si>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</si>
  <si>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</si>
  <si>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</si>
  <si>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</si>
  <si>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</si>
  <si>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</si>
  <si>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</si>
  <si>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</si>
  <si>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</si>
  <si>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</si>
  <si>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</si>
  <si>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</si>
  <si>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</si>
  <si>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</si>
  <si>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</si>
  <si>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</si>
  <si>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</si>
  <si>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</si>
  <si>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</si>
  <si>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</si>
  <si>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</si>
  <si>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</si>
  <si>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</si>
  <si>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</si>
  <si>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</si>
  <si>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</si>
  <si>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</si>
  <si>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</si>
  <si>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</si>
  <si>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</si>
  <si>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</si>
  <si>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</si>
  <si>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</si>
  <si>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</si>
  <si>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</si>
  <si>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</si>
  <si>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</si>
  <si>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</si>
  <si>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</si>
  <si>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</si>
  <si>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</si>
  <si>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</si>
  <si>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</si>
  <si>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</si>
  <si>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</si>
  <si>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</si>
  <si>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</si>
  <si>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</si>
  <si>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</si>
  <si>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</si>
  <si>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</si>
  <si>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</si>
  <si>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</si>
  <si>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</si>
  <si>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</si>
  <si>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</si>
  <si>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</si>
  <si>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</si>
  <si>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</si>
  <si>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</si>
  <si>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</si>
  <si>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</si>
  <si>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</si>
  <si>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</si>
  <si>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</si>
  <si>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</si>
  <si>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</si>
  <si>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</si>
  <si>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</si>
  <si>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</si>
  <si>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</si>
  <si>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</si>
  <si>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</si>
  <si>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</si>
  <si>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</si>
  <si>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</si>
  <si>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</si>
  <si>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</si>
  <si>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</si>
  <si>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Gîte et chambres d'hôtes</t>
  </si>
  <si>
    <t>Cotisations labels et office de tourisme</t>
  </si>
  <si>
    <t>Commissions plateformes réservation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</si>
  <si>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repas, petit déj.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</si>
  <si>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Hébergement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</si>
</sst>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294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300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>
        <v>800</v>
      </c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60000</v>
      </c>
      <c r="C29" s="5" t="s">
        <v>12</v>
      </c>
    </row>
    <row r="30" spans="1:8" x14ac:dyDescent="0.25">
      <c r="A30" s="276" t="s">
        <v>39</v>
      </c>
      <c r="B30" s="255">
        <v>20000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500</v>
      </c>
      <c r="C32" s="5" t="s">
        <v>17</v>
      </c>
    </row>
    <row r="33" spans="1:13" ht="15.25" thickBot="1" x14ac:dyDescent="0.3">
      <c r="A33" s="276" t="s">
        <v>40</v>
      </c>
      <c r="B33" s="255">
        <v>3000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91460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7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87160</v>
      </c>
      <c r="C39" s="116">
        <f t="shared" ref="C39:C54" si="0">IF(ISERROR($B39/$C$36),0,$B39/$C$36)</f>
        <v>12451.428571428571</v>
      </c>
      <c r="D39" s="116">
        <f>IF($B39&gt;(SUM(C39:$C39)),IF(ISERROR($B39/$C$36),"",$B39/$C$36),0)</f>
        <v>12451.428571428571</v>
      </c>
      <c r="E39" s="116">
        <f>IF($B39&gt;(SUM($C39:D39)),IF(ISERROR($B39/$C$36),"",$B39/$C$36),0)</f>
        <v>12451.428571428571</v>
      </c>
      <c r="F39" s="116">
        <f>IF($B39&gt;(SUM($C39:E39)),IF(ISERROR($B39/$C$36),"",$B39/$C$36),0)</f>
        <v>12451.428571428571</v>
      </c>
      <c r="G39" s="116">
        <f>IF($B39&gt;(SUM($C39:F39)),IF(ISERROR($B39/$C$36),"",$B39/$C$36),0)</f>
        <v>12451.428571428571</v>
      </c>
      <c r="H39" s="116">
        <f>IF($B39&gt;(SUM($C39:G39)),IF(ISERROR($B39/$C$36),"",$B39/$C$36),0)</f>
        <v>12451.428571428571</v>
      </c>
      <c r="I39" s="116">
        <f>IF($B39&gt;(SUM($C39:H39)),IF(ISERROR($B39/$C$36),"",$B39/$C$36),0)</f>
        <v>12451.428571428571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87159.999999999985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</v>
      </c>
      <c r="C40" s="75">
        <f t="shared" si="0"/>
        <v>8.5714285714285712</v>
      </c>
      <c r="D40" s="75">
        <f>IF($B40&gt;(SUM(C40:$C40)),IF(ISERROR($B40/$C$36),"",$B40/$C$36),0)</f>
        <v>8.5714285714285712</v>
      </c>
      <c r="E40" s="75">
        <f>IF($B40&gt;(SUM($C40:D40)),IF(ISERROR($B40/$C$36),"",$B40/$C$36),0)</f>
        <v>8.5714285714285712</v>
      </c>
      <c r="F40" s="75">
        <f>IF($B40&gt;(SUM($C40:E40)),IF(ISERROR($B40/$C$36),"",$B40/$C$36),0)</f>
        <v>8.5714285714285712</v>
      </c>
      <c r="G40" s="75">
        <f>IF($B40&gt;(SUM($C40:F40)),IF(ISERROR($B40/$C$36),"",$B40/$C$36),0)</f>
        <v>8.5714285714285712</v>
      </c>
      <c r="H40" s="75">
        <f>IF($B40&gt;(SUM($C40:G40)),IF(ISERROR($B40/$C$36),"",$B40/$C$36),0)</f>
        <v>8.5714285714285712</v>
      </c>
      <c r="I40" s="75">
        <f>IF($B40&gt;(SUM($C40:H40)),IF(ISERROR($B40/$C$36),"",$B40/$C$36),0)</f>
        <v>8.5714285714285712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59.999999999999993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142.85714285714286</v>
      </c>
      <c r="D42" s="75">
        <f>IF($B42&gt;(SUM(C42:$C42)),IF(ISERROR($B42/$C$36),"",$B42/$C$36),0)</f>
        <v>142.85714285714286</v>
      </c>
      <c r="E42" s="75">
        <f>IF($B42&gt;(SUM($C42:D42)),IF(ISERROR($B42/$C$36),"",$B42/$C$36),0)</f>
        <v>142.85714285714286</v>
      </c>
      <c r="F42" s="75">
        <f>IF($B42&gt;(SUM($C42:E42)),IF(ISERROR($B42/$C$36),"",$B42/$C$36),0)</f>
        <v>142.85714285714286</v>
      </c>
      <c r="G42" s="75">
        <f>IF($B42&gt;(SUM($C42:F42)),IF(ISERROR($B42/$C$36),"",$B42/$C$36),0)</f>
        <v>142.85714285714286</v>
      </c>
      <c r="H42" s="75">
        <f>IF($B42&gt;(SUM($C42:G42)),IF(ISERROR($B42/$C$36),"",$B42/$C$36),0)</f>
        <v>142.85714285714286</v>
      </c>
      <c r="I42" s="75">
        <f>IF($B42&gt;(SUM($C42:H42)),IF(ISERROR($B42/$C$36),"",$B42/$C$36),0)</f>
        <v>142.85714285714286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1000.0000000000001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85.714285714285708</v>
      </c>
      <c r="D48" s="75">
        <f>IF($B48&gt;(SUM(C48:$C48)),IF(ISERROR($B48/$C$36),"",$B48/$C$36),0)</f>
        <v>85.714285714285708</v>
      </c>
      <c r="E48" s="75">
        <f>IF($B48&gt;(SUM($C48:D48)),IF(ISERROR($B48/$C$36),"",$B48/$C$36),0)</f>
        <v>85.714285714285708</v>
      </c>
      <c r="F48" s="75">
        <f>IF($B48&gt;(SUM($C48:E48)),IF(ISERROR($B48/$C$36),"",$B48/$C$36),0)</f>
        <v>85.714285714285708</v>
      </c>
      <c r="G48" s="75">
        <f>IF($B48&gt;(SUM($C48:F48)),IF(ISERROR($B48/$C$36),"",$B48/$C$36),0)</f>
        <v>85.714285714285708</v>
      </c>
      <c r="H48" s="75">
        <f>IF($B48&gt;(SUM($C48:G48)),IF(ISERROR($B48/$C$36),"",$B48/$C$36),0)</f>
        <v>85.714285714285708</v>
      </c>
      <c r="I48" s="75">
        <f>IF($B48&gt;(SUM($C48:H48)),IF(ISERROR($B48/$C$36),"",$B48/$C$36),0)</f>
        <v>85.714285714285708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599.99999999999989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500</v>
      </c>
      <c r="I50" s="75">
        <f>IF($B50&gt;(SUM($C50:H50)),IF(ISERROR($B50/$C$36),"",$B50/$C$36),0)</f>
        <v>500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60000</v>
      </c>
      <c r="C52" s="75">
        <f t="shared" si="0"/>
        <v>8571.4285714285706</v>
      </c>
      <c r="D52" s="75">
        <f>IF($B52&gt;(SUM(C52:$C52)),IF(ISERROR($B52/$C$36),"",$B52/$C$36),0)</f>
        <v>8571.4285714285706</v>
      </c>
      <c r="E52" s="75">
        <f>IF($B52&gt;(SUM($C52:D52)),IF(ISERROR($B52/$C$36),"",$B52/$C$36),0)</f>
        <v>8571.4285714285706</v>
      </c>
      <c r="F52" s="75">
        <f>IF($B52&gt;(SUM($C52:E52)),IF(ISERROR($B52/$C$36),"",$B52/$C$36),0)</f>
        <v>8571.4285714285706</v>
      </c>
      <c r="G52" s="75">
        <f>IF($B52&gt;(SUM($C52:F52)),IF(ISERROR($B52/$C$36),"",$B52/$C$36),0)</f>
        <v>8571.4285714285706</v>
      </c>
      <c r="H52" s="75">
        <f>IF($B52&gt;(SUM($C52:G52)),IF(ISERROR($B52/$C$36),"",$B52/$C$36),0)</f>
        <v>8571.4285714285706</v>
      </c>
      <c r="I52" s="75">
        <f>IF($B52&gt;(SUM($C52:H52)),IF(ISERROR($B52/$C$36),"",$B52/$C$36),0)</f>
        <v>8571.4285714285706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60000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20000</v>
      </c>
      <c r="C53" s="75">
        <f t="shared" si="0"/>
        <v>2857.1428571428573</v>
      </c>
      <c r="D53" s="75">
        <f>IF($B53&gt;(SUM(C53:$C53)),IF(ISERROR($B53/$C$36),"",$B53/$C$36),0)</f>
        <v>2857.1428571428573</v>
      </c>
      <c r="E53" s="75">
        <f>IF($B53&gt;(SUM($C53:D53)),IF(ISERROR($B53/$C$36),"",$B53/$C$36),0)</f>
        <v>2857.1428571428573</v>
      </c>
      <c r="F53" s="75">
        <f>IF($B53&gt;(SUM($C53:E53)),IF(ISERROR($B53/$C$36),"",$B53/$C$36),0)</f>
        <v>2857.1428571428573</v>
      </c>
      <c r="G53" s="75">
        <f>IF($B53&gt;(SUM($C53:F53)),IF(ISERROR($B53/$C$36),"",$B53/$C$36),0)</f>
        <v>2857.1428571428573</v>
      </c>
      <c r="H53" s="75">
        <f>IF($B53&gt;(SUM($C53:G53)),IF(ISERROR($B53/$C$36),"",$B53/$C$36),0)</f>
        <v>2857.1428571428573</v>
      </c>
      <c r="I53" s="75">
        <f>IF($B53&gt;(SUM($C53:H53)),IF(ISERROR($B53/$C$36),"",$B53/$C$36),0)</f>
        <v>2857.1428571428573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20000.000000000004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285.71428571428572</v>
      </c>
      <c r="D54" s="75">
        <f>IF($B54&gt;(SUM(C54:$C54)),IF(ISERROR($B54/$C$36),"",$B54/$C$36),0)</f>
        <v>285.71428571428572</v>
      </c>
      <c r="E54" s="75">
        <f>IF($B54&gt;(SUM($C54:D54)),IF(ISERROR($B54/$C$36),"",$B54/$C$36),0)</f>
        <v>285.71428571428572</v>
      </c>
      <c r="F54" s="75">
        <f>IF($B54&gt;(SUM($C54:E54)),IF(ISERROR($B54/$C$36),"",$B54/$C$36),0)</f>
        <v>285.71428571428572</v>
      </c>
      <c r="G54" s="75">
        <f>IF($B54&gt;(SUM($C54:F54)),IF(ISERROR($B54/$C$36),"",$B54/$C$36),0)</f>
        <v>285.71428571428572</v>
      </c>
      <c r="H54" s="75">
        <f>IF($B54&gt;(SUM($C54:G54)),IF(ISERROR($B54/$C$36),"",$B54/$C$36),0)</f>
        <v>285.71428571428572</v>
      </c>
      <c r="I54" s="75">
        <f>IF($B54&gt;(SUM($C54:H54)),IF(ISERROR($B54/$C$36),"",$B54/$C$36),0)</f>
        <v>285.71428571428572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2000.0000000000002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50000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298</v>
      </c>
      <c r="B61" s="255">
        <v>41460</v>
      </c>
      <c r="C61" s="257">
        <v>0.03</v>
      </c>
      <c r="D61" s="258">
        <f>12*7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91460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547.82342071404514</v>
      </c>
      <c r="C70" s="79">
        <f>B70*D61</f>
        <v>46017.167339979795</v>
      </c>
      <c r="D70" s="82">
        <f>IF(ISERROR(B61/D61),0,B61/D61)</f>
        <v>493.57142857142856</v>
      </c>
      <c r="E70" s="152">
        <f>B70-D70</f>
        <v>54.251992142616587</v>
      </c>
      <c r="F70" s="80">
        <f>E70*D61</f>
        <v>4557.1673399797928</v>
      </c>
      <c r="G70" s="153">
        <f>IF($D61&gt;12,$E70*12,$E70*$D61)</f>
        <v>651.02390571139904</v>
      </c>
      <c r="H70" s="153">
        <f>IF($D61-12&lt;0,0,IF($D61&gt;24,$E70*12,($D61-12)*$E70))</f>
        <v>651.02390571139904</v>
      </c>
      <c r="I70" s="153">
        <f>IF($D61-24&lt;0,0,IF($D61&gt;36,$E70*12,($D61-24)*$E70))</f>
        <v>651.02390571139904</v>
      </c>
      <c r="J70" s="153">
        <f>IF($D61&gt;12,$D70*12,$D70*$D61)</f>
        <v>5922.8571428571431</v>
      </c>
      <c r="K70" s="153">
        <f>IF($D61-12&lt;0,0,IF($D61&gt;24,$D70*12,($D61-12)*$D70))</f>
        <v>5922.8571428571431</v>
      </c>
      <c r="L70" s="153">
        <f>IF($D61-24&lt;0,0,IF($D61&gt;36,$D70*12,($D61-24)*$D70))</f>
        <v>5922.8571428571431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651.02390571139904</v>
      </c>
      <c r="J73" s="203">
        <f t="shared" si="17"/>
        <v>5922.8571428571431</v>
      </c>
      <c r="K73" s="203">
        <f t="shared" si="17"/>
        <v>5922.8571428571431</v>
      </c>
      <c r="L73" s="203">
        <f t="shared" si="17"/>
        <v>5922.8571428571431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300</v>
      </c>
      <c r="C77" s="260">
        <v>320</v>
      </c>
      <c r="D77" s="261">
        <v>340</v>
      </c>
    </row>
    <row r="78" spans="1:12" ht="15.1" customHeight="1" x14ac:dyDescent="0.25">
      <c r="A78" s="276" t="s">
        <v>21</v>
      </c>
      <c r="B78" s="259"/>
      <c r="C78" s="260"/>
      <c r="D78" s="261"/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261</v>
      </c>
      <c r="B80" s="259">
        <v>400</v>
      </c>
      <c r="C80" s="260">
        <v>500</v>
      </c>
      <c r="D80" s="261">
        <v>600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1800</v>
      </c>
      <c r="C82" s="260">
        <v>2000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300</v>
      </c>
      <c r="C84" s="260">
        <v>330</v>
      </c>
      <c r="D84" s="261">
        <v>350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400</v>
      </c>
      <c r="C85" s="260">
        <v>450</v>
      </c>
      <c r="D85" s="261">
        <v>500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600</v>
      </c>
      <c r="C86" s="260">
        <v>700</v>
      </c>
      <c r="D86" s="261">
        <v>800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1200</v>
      </c>
      <c r="C87" s="260">
        <v>900</v>
      </c>
      <c r="D87" s="261">
        <v>1000</v>
      </c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/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/>
      <c r="C90" s="260"/>
      <c r="D90" s="261"/>
      <c r="E90" s="5"/>
    </row>
    <row r="91" spans="1:8" x14ac:dyDescent="0.25">
      <c r="A91" s="276" t="s">
        <v>45</v>
      </c>
      <c r="B91" s="259"/>
      <c r="C91" s="260">
        <v>1000</v>
      </c>
      <c r="D91" s="261">
        <v>1000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299</v>
      </c>
      <c r="B93" s="259">
        <v>300</v>
      </c>
      <c r="C93" s="260">
        <v>320</v>
      </c>
      <c r="D93" s="261">
        <v>320</v>
      </c>
      <c r="E93" s="89" t="s">
        <v>286</v>
      </c>
    </row>
    <row r="94" spans="1:8" x14ac:dyDescent="0.25">
      <c r="A94" s="278" t="s">
        <v>301</v>
      </c>
      <c r="B94" s="259">
        <v>600</v>
      </c>
      <c r="C94" s="260">
        <v>600</v>
      </c>
      <c r="D94" s="261">
        <v>650</v>
      </c>
      <c r="E94" s="89" t="s">
        <v>286</v>
      </c>
    </row>
    <row r="95" spans="1:8" x14ac:dyDescent="0.25">
      <c r="A95" s="278" t="s">
        <v>302</v>
      </c>
      <c r="B95" s="259">
        <v>2400</v>
      </c>
      <c r="C95" s="260">
        <v>3100</v>
      </c>
      <c r="D95" s="261">
        <v>3700</v>
      </c>
      <c r="E95" s="89" t="s">
        <v>286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8300</v>
      </c>
      <c r="C97" s="10">
        <f>SUM(C77:C95)</f>
        <v>10220</v>
      </c>
      <c r="D97" s="10">
        <f>SUM(D77:D95)</f>
        <v>11460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290</v>
      </c>
    </row>
    <row r="101" spans="1:9" x14ac:dyDescent="0.25"/>
    <row r="102" spans="1:9" ht="29.1" x14ac:dyDescent="0.25">
      <c r="A102" s="91" t="s">
        <v>303</v>
      </c>
      <c r="B102" s="11" t="s">
        <v>53</v>
      </c>
      <c r="C102" s="11" t="s">
        <v>54</v>
      </c>
      <c r="D102" s="11" t="s">
        <v>55</v>
      </c>
      <c r="F102" s="204" t="s">
        <v>304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5</v>
      </c>
      <c r="C103" s="255">
        <v>30</v>
      </c>
      <c r="D103" s="12">
        <f>B103*C103</f>
        <v>150</v>
      </c>
      <c r="F103" s="281" t="s">
        <v>208</v>
      </c>
      <c r="G103" s="262">
        <v>5</v>
      </c>
      <c r="H103" s="255">
        <v>160</v>
      </c>
      <c r="I103" s="12">
        <f>G103*H103</f>
        <v>800</v>
      </c>
    </row>
    <row r="104" spans="1:9" x14ac:dyDescent="0.25">
      <c r="A104" s="279" t="s">
        <v>209</v>
      </c>
      <c r="B104" s="262">
        <v>12</v>
      </c>
      <c r="C104" s="255">
        <v>30</v>
      </c>
      <c r="D104" s="12">
        <f t="shared" ref="D104:D114" si="18">B104*C104</f>
        <v>360</v>
      </c>
      <c r="F104" s="282" t="s">
        <v>209</v>
      </c>
      <c r="G104" s="262">
        <v>12</v>
      </c>
      <c r="H104" s="255">
        <v>160</v>
      </c>
      <c r="I104" s="12">
        <f t="shared" ref="I104:I114" si="19">G104*H104</f>
        <v>1920</v>
      </c>
    </row>
    <row r="105" spans="1:9" x14ac:dyDescent="0.25">
      <c r="A105" s="279" t="s">
        <v>210</v>
      </c>
      <c r="B105" s="262">
        <v>15</v>
      </c>
      <c r="C105" s="255">
        <v>30</v>
      </c>
      <c r="D105" s="12">
        <f t="shared" si="18"/>
        <v>450</v>
      </c>
      <c r="F105" s="282" t="s">
        <v>210</v>
      </c>
      <c r="G105" s="262">
        <v>15</v>
      </c>
      <c r="H105" s="255">
        <v>160</v>
      </c>
      <c r="I105" s="12">
        <f t="shared" si="19"/>
        <v>2400</v>
      </c>
    </row>
    <row r="106" spans="1:9" x14ac:dyDescent="0.25">
      <c r="A106" s="279" t="s">
        <v>215</v>
      </c>
      <c r="B106" s="262">
        <v>16</v>
      </c>
      <c r="C106" s="255">
        <v>30</v>
      </c>
      <c r="D106" s="12">
        <f t="shared" si="18"/>
        <v>480</v>
      </c>
      <c r="F106" s="282" t="s">
        <v>215</v>
      </c>
      <c r="G106" s="262">
        <v>16</v>
      </c>
      <c r="H106" s="255">
        <v>160</v>
      </c>
      <c r="I106" s="12">
        <f t="shared" si="19"/>
        <v>2560</v>
      </c>
    </row>
    <row r="107" spans="1:9" x14ac:dyDescent="0.25">
      <c r="A107" s="279" t="s">
        <v>217</v>
      </c>
      <c r="B107" s="262">
        <v>18</v>
      </c>
      <c r="C107" s="255">
        <v>30</v>
      </c>
      <c r="D107" s="12">
        <f t="shared" si="18"/>
        <v>540</v>
      </c>
      <c r="F107" s="282" t="s">
        <v>217</v>
      </c>
      <c r="G107" s="262">
        <v>18</v>
      </c>
      <c r="H107" s="255">
        <v>200</v>
      </c>
      <c r="I107" s="12">
        <f t="shared" si="19"/>
        <v>3600</v>
      </c>
    </row>
    <row r="108" spans="1:9" x14ac:dyDescent="0.25">
      <c r="A108" s="279" t="s">
        <v>218</v>
      </c>
      <c r="B108" s="262">
        <v>22</v>
      </c>
      <c r="C108" s="255">
        <v>30</v>
      </c>
      <c r="D108" s="12">
        <f t="shared" si="18"/>
        <v>660</v>
      </c>
      <c r="F108" s="282" t="s">
        <v>218</v>
      </c>
      <c r="G108" s="262">
        <v>22</v>
      </c>
      <c r="H108" s="255">
        <v>200</v>
      </c>
      <c r="I108" s="12">
        <f t="shared" si="19"/>
        <v>4400</v>
      </c>
    </row>
    <row r="109" spans="1:9" x14ac:dyDescent="0.25">
      <c r="A109" s="279" t="s">
        <v>219</v>
      </c>
      <c r="B109" s="262">
        <v>25</v>
      </c>
      <c r="C109" s="255">
        <v>30</v>
      </c>
      <c r="D109" s="12">
        <f t="shared" si="18"/>
        <v>750</v>
      </c>
      <c r="F109" s="282" t="s">
        <v>219</v>
      </c>
      <c r="G109" s="262">
        <v>25</v>
      </c>
      <c r="H109" s="255">
        <v>200</v>
      </c>
      <c r="I109" s="12">
        <f t="shared" si="19"/>
        <v>5000</v>
      </c>
    </row>
    <row r="110" spans="1:9" x14ac:dyDescent="0.25">
      <c r="A110" s="279" t="s">
        <v>220</v>
      </c>
      <c r="B110" s="262">
        <v>25</v>
      </c>
      <c r="C110" s="255">
        <v>30</v>
      </c>
      <c r="D110" s="12">
        <f t="shared" si="18"/>
        <v>750</v>
      </c>
      <c r="F110" s="282" t="s">
        <v>220</v>
      </c>
      <c r="G110" s="262">
        <v>25</v>
      </c>
      <c r="H110" s="255">
        <v>200</v>
      </c>
      <c r="I110" s="12">
        <f t="shared" si="19"/>
        <v>5000</v>
      </c>
    </row>
    <row r="111" spans="1:9" x14ac:dyDescent="0.25">
      <c r="A111" s="279" t="s">
        <v>221</v>
      </c>
      <c r="B111" s="262">
        <v>18</v>
      </c>
      <c r="C111" s="255">
        <v>30</v>
      </c>
      <c r="D111" s="12">
        <f t="shared" si="18"/>
        <v>540</v>
      </c>
      <c r="F111" s="282" t="s">
        <v>221</v>
      </c>
      <c r="G111" s="262">
        <v>18</v>
      </c>
      <c r="H111" s="255">
        <v>160</v>
      </c>
      <c r="I111" s="12">
        <f t="shared" si="19"/>
        <v>2880</v>
      </c>
    </row>
    <row r="112" spans="1:9" x14ac:dyDescent="0.25">
      <c r="A112" s="279" t="s">
        <v>222</v>
      </c>
      <c r="B112" s="262">
        <v>16</v>
      </c>
      <c r="C112" s="255">
        <v>30</v>
      </c>
      <c r="D112" s="12">
        <f t="shared" si="18"/>
        <v>480</v>
      </c>
      <c r="F112" s="282" t="s">
        <v>222</v>
      </c>
      <c r="G112" s="262">
        <v>16</v>
      </c>
      <c r="H112" s="255">
        <v>160</v>
      </c>
      <c r="I112" s="12">
        <f t="shared" si="19"/>
        <v>2560</v>
      </c>
    </row>
    <row r="113" spans="1:9" x14ac:dyDescent="0.25">
      <c r="A113" s="279" t="s">
        <v>223</v>
      </c>
      <c r="B113" s="262">
        <v>14</v>
      </c>
      <c r="C113" s="255">
        <v>30</v>
      </c>
      <c r="D113" s="12">
        <f t="shared" si="18"/>
        <v>420</v>
      </c>
      <c r="F113" s="282" t="s">
        <v>223</v>
      </c>
      <c r="G113" s="262">
        <v>14</v>
      </c>
      <c r="H113" s="255">
        <v>160</v>
      </c>
      <c r="I113" s="12">
        <f t="shared" si="19"/>
        <v>2240</v>
      </c>
    </row>
    <row r="114" spans="1:9" ht="15.25" thickBot="1" x14ac:dyDescent="0.3">
      <c r="A114" s="279" t="s">
        <v>224</v>
      </c>
      <c r="B114" s="262">
        <v>9</v>
      </c>
      <c r="C114" s="255">
        <v>30</v>
      </c>
      <c r="D114" s="12">
        <f t="shared" si="18"/>
        <v>270</v>
      </c>
      <c r="F114" s="282" t="s">
        <v>224</v>
      </c>
      <c r="G114" s="262">
        <v>9</v>
      </c>
      <c r="H114" s="255">
        <v>160</v>
      </c>
      <c r="I114" s="12">
        <f t="shared" si="19"/>
        <v>1440</v>
      </c>
    </row>
    <row r="115" spans="1:9" ht="15.25" thickBot="1" x14ac:dyDescent="0.3">
      <c r="A115" s="14" t="s">
        <v>48</v>
      </c>
      <c r="D115" s="13">
        <f>SUM(D103:D114)</f>
        <v>5850</v>
      </c>
      <c r="F115" s="205" t="s">
        <v>48</v>
      </c>
      <c r="I115" s="13">
        <f>SUM(I103:I114)</f>
        <v>34800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0.18</v>
      </c>
      <c r="F117" s="206" t="s">
        <v>119</v>
      </c>
      <c r="I117" s="263">
        <v>0.18</v>
      </c>
    </row>
    <row r="118" spans="1:9" ht="15.95" x14ac:dyDescent="0.3">
      <c r="A118" s="2" t="s">
        <v>57</v>
      </c>
      <c r="D118" s="263">
        <v>0.18</v>
      </c>
      <c r="F118" s="206" t="s">
        <v>118</v>
      </c>
      <c r="I118" s="263">
        <v>0.18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>
        <v>0.25</v>
      </c>
      <c r="E123" s="160" t="s">
        <v>183</v>
      </c>
    </row>
    <row r="124" spans="1:9" x14ac:dyDescent="0.25">
      <c r="D124" s="285" t="s">
        <v>287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288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0</v>
      </c>
      <c r="E128" s="160" t="s">
        <v>289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9000</v>
      </c>
      <c r="C134" s="260">
        <v>10000</v>
      </c>
      <c r="D134" s="261">
        <v>15000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291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737.1</v>
      </c>
      <c r="C140" s="71">
        <f>+'Plan financier à imprimer'!AH11*12.6%</f>
        <v>869.77800000000002</v>
      </c>
      <c r="D140" s="71">
        <f>+'Plan financier à imprimer'!AI11*12.6%</f>
        <v>1026.3380400000001</v>
      </c>
      <c r="E140" s="93" t="s">
        <v>130</v>
      </c>
      <c r="F140" t="s">
        <v>1</v>
      </c>
      <c r="G140" s="245">
        <f>+'Plan financier à imprimer'!AG11*6.3%</f>
        <v>368.55</v>
      </c>
      <c r="H140" s="247">
        <f>+'Plan financier à imprimer'!AH11*12.6%</f>
        <v>869.77800000000002</v>
      </c>
      <c r="I140" s="71">
        <f>+'Plan financier à imprimer'!AI11*12.6%</f>
        <v>1026.3380400000001</v>
      </c>
    </row>
    <row r="141" spans="1:9" ht="15.1" hidden="1" customHeight="1" x14ac:dyDescent="0.25">
      <c r="A141" t="s">
        <v>1</v>
      </c>
      <c r="B141" s="71">
        <f>+'Plan financier à imprimer'!AG12*21.9%</f>
        <v>7621.1999999999989</v>
      </c>
      <c r="C141" s="71">
        <f>+'Plan financier à imprimer'!AH12*21.9%</f>
        <v>8993.0159999999996</v>
      </c>
      <c r="D141" s="71">
        <f>+'Plan financier à imprimer'!AI12*21.9%</f>
        <v>10611.758879999998</v>
      </c>
      <c r="E141" s="93" t="s">
        <v>131</v>
      </c>
      <c r="F141" t="s">
        <v>1</v>
      </c>
      <c r="G141" s="245">
        <f>+'Plan financier à imprimer'!AG12*11%</f>
        <v>3828</v>
      </c>
      <c r="H141" s="247">
        <f>+'Plan financier à imprimer'!AH12*21.9%</f>
        <v>8993.0159999999996</v>
      </c>
      <c r="I141" s="71">
        <f>+'Plan financier à imprimer'!AI12*21.9%</f>
        <v>10611.758879999998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5335.5142568580086</v>
      </c>
      <c r="C142" s="71">
        <f>IF('Plan financier à imprimer'!AH52*30%&lt;3456,3456,'Plan financier à imprimer'!AH52*30%)</f>
        <v>6875.6392568580086</v>
      </c>
      <c r="D142" s="71">
        <f>IF('Plan financier à imprimer'!AI52*30%&lt;3456,3456,'Plan financier à imprimer'!AI52*30%)</f>
        <v>9000.6667568580069</v>
      </c>
      <c r="F142" t="s">
        <v>110</v>
      </c>
      <c r="G142" s="245">
        <v>1305</v>
      </c>
      <c r="H142" s="248">
        <f>IF('Plan financier à imprimer'!AH52*32%&lt;3456,3456,'Plan financier à imprimer'!AH52*32%)</f>
        <v>7334.0152073152094</v>
      </c>
      <c r="I142" s="72">
        <f>IF('Plan financier à imprimer'!AI52*32%&lt;3456,3456,'Plan financier à imprimer'!AI52*32%)</f>
        <v>9600.7112073152075</v>
      </c>
    </row>
    <row r="143" spans="1:9" ht="15.75" hidden="1" customHeight="1" x14ac:dyDescent="0.25">
      <c r="A143" t="s">
        <v>109</v>
      </c>
      <c r="B143" s="71">
        <f>IF(B134*45%&lt;3456,3456,B134*45%)</f>
        <v>4050</v>
      </c>
      <c r="C143" s="71">
        <f>IF(C134*45%&lt;3456,3456,C134*45%)</f>
        <v>4500</v>
      </c>
      <c r="D143" s="71">
        <f>IF(D134*45%&lt;3456,3456,D134*45%)</f>
        <v>6750</v>
      </c>
      <c r="F143" t="s">
        <v>109</v>
      </c>
      <c r="G143" s="245">
        <v>1305</v>
      </c>
      <c r="H143" s="248">
        <f>IF(C134*45%&lt;3456,3456,C134*45%)</f>
        <v>4500</v>
      </c>
      <c r="I143" s="72">
        <f>IF(D134*45%&lt;3456,3456,D134*45%)</f>
        <v>6750</v>
      </c>
    </row>
    <row r="144" spans="1:9" ht="15.1" hidden="1" x14ac:dyDescent="0.25">
      <c r="A144" t="s">
        <v>111</v>
      </c>
      <c r="B144" s="71">
        <f>IF(B134*45%&lt;3456,3456,B134*45%)</f>
        <v>4050</v>
      </c>
      <c r="C144" s="71">
        <f>IF(C134*45%&lt;3456,3456,C134*45%)</f>
        <v>4500</v>
      </c>
      <c r="D144" s="71">
        <f>IF(D134*45%&lt;3456,3456,D134*45%)</f>
        <v>6750</v>
      </c>
      <c r="F144" t="s">
        <v>111</v>
      </c>
      <c r="G144" s="245">
        <v>1305</v>
      </c>
      <c r="H144" s="248">
        <f>IF(C134*45%&lt;3456,3456,C134*45%)</f>
        <v>4500</v>
      </c>
      <c r="I144" s="72">
        <f>IF(D134*45%&lt;3456,3456,D134*45%)</f>
        <v>6750</v>
      </c>
    </row>
    <row r="145" spans="1:9" ht="15.1" hidden="1" x14ac:dyDescent="0.25">
      <c r="A145" t="s">
        <v>112</v>
      </c>
      <c r="B145" s="71">
        <f>B134*70%</f>
        <v>6300</v>
      </c>
      <c r="C145" s="71">
        <f t="shared" ref="C145:D145" si="20">C134*70%</f>
        <v>7000</v>
      </c>
      <c r="D145" s="71">
        <f t="shared" si="20"/>
        <v>10500</v>
      </c>
      <c r="F145" t="s">
        <v>112</v>
      </c>
      <c r="G145" s="245">
        <f>B134*33%</f>
        <v>2970</v>
      </c>
      <c r="H145" s="245">
        <f>C134*70%</f>
        <v>7000</v>
      </c>
      <c r="I145" s="245">
        <f>D134*70%</f>
        <v>10500</v>
      </c>
    </row>
    <row r="146" spans="1:9" ht="15.1" hidden="1" x14ac:dyDescent="0.25">
      <c r="A146" t="s">
        <v>113</v>
      </c>
      <c r="B146" s="71">
        <f>B134*70%</f>
        <v>6300</v>
      </c>
      <c r="C146" s="71">
        <f t="shared" ref="C146:D146" si="21">C134*70%</f>
        <v>7000</v>
      </c>
      <c r="D146" s="71">
        <f t="shared" si="21"/>
        <v>10500</v>
      </c>
      <c r="F146" t="s">
        <v>113</v>
      </c>
      <c r="G146" s="245">
        <f>B134*33%</f>
        <v>2970</v>
      </c>
      <c r="H146" s="245">
        <f>C134*70%</f>
        <v>7000</v>
      </c>
      <c r="I146" s="245">
        <f>D134*70%</f>
        <v>10500</v>
      </c>
    </row>
    <row r="147" spans="1:9" ht="15.1" hidden="1" x14ac:dyDescent="0.25">
      <c r="A147" s="1" t="s">
        <v>108</v>
      </c>
      <c r="B147" s="73">
        <f>SUMIF($A$140:$A$146,$B$8,B140:B146)</f>
        <v>8358.2999999999993</v>
      </c>
      <c r="C147" s="73">
        <f>SUMIF($A$140:$A$146,$B$8,C140:C146)</f>
        <v>9862.7939999999999</v>
      </c>
      <c r="D147" s="73">
        <f>SUMIF($A$140:$A$146,$B$8,D140:D146)</f>
        <v>11638.096919999998</v>
      </c>
      <c r="F147" s="1" t="s">
        <v>108</v>
      </c>
      <c r="G147" s="245">
        <f>SUMIF($A$140:$A$146,$B$8,G140:G146)</f>
        <v>4196.55</v>
      </c>
      <c r="H147" s="246">
        <f>SUMIF($A$140:$A$146,$B$8,H140:H146)</f>
        <v>9862.7939999999999</v>
      </c>
      <c r="I147" s="246">
        <f>SUMIF($A$140:$A$146,$B$8,I140:I146)</f>
        <v>11638.096919999998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292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293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y0Wm9uRzf6cux6LwfQ08gHqpbqqmClWSPOJRVxCQHwVdMyZMrnPwlRRgdZ+FepwXAzl3uRPZljSvNWmOcxESgQ==" saltValue="4wVY6hB93pdiqKzuu5ABq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Gîte et chambres d'hôtes</v>
      </c>
      <c r="T6" s="1" t="s">
        <v>68</v>
      </c>
      <c r="V6" s="3" t="str">
        <f>IF(ISBLANK('Données à saisir'!$B7),"",('Données à saisir'!$B7))</f>
        <v>Gîte et chambres d'hôtes</v>
      </c>
      <c r="AC6" s="1" t="s">
        <v>68</v>
      </c>
      <c r="AE6" s="3" t="str">
        <f>IF(ISBLANK('Données à saisir'!$B7),"",('Données à saisir'!$B7))</f>
        <v>Gîte et chambres d'hôtes</v>
      </c>
      <c r="AL6" s="1" t="s">
        <v>68</v>
      </c>
      <c r="AN6" s="3" t="str">
        <f>IF(ISBLANK('Données à saisir'!$B7),"",('Données à saisir'!$B7))</f>
        <v>Gîte et chambres d'hôtes</v>
      </c>
      <c r="AW6" s="1" t="s">
        <v>68</v>
      </c>
      <c r="AY6" s="3" t="str">
        <f>IF(ISBLANK('Données à saisir'!$B7),"",('Données à saisir'!$B7))</f>
        <v>Gîte et chambres d'hôtes</v>
      </c>
      <c r="BF6" s="1" t="s">
        <v>68</v>
      </c>
      <c r="BH6" s="3" t="str">
        <f>IF(ISBLANK('Données à saisir'!$B7),"",('Données à saisir'!$B7))</f>
        <v>Gîte et chambres d'hôtes</v>
      </c>
      <c r="BO6" s="1" t="s">
        <v>68</v>
      </c>
      <c r="BQ6" s="3" t="str">
        <f>IF(ISBLANK('Données à saisir'!$B7),"",('Données à saisir'!$B7))</f>
        <v>Gîte et chambres d'hôtes</v>
      </c>
      <c r="BV6" s="193" t="s">
        <v>214</v>
      </c>
      <c r="BY6" s="1" t="s">
        <v>68</v>
      </c>
      <c r="CA6" s="3" t="str">
        <f>IF(ISBLANK('Données à saisir'!$B7),"",('Données à saisir'!$B7))</f>
        <v>Gîte et chambres d'hôtes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Micro-entreprise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40650</v>
      </c>
      <c r="AH10" s="60">
        <f t="shared" ref="AH10:AI10" si="0">SUM(AH11:AH12)</f>
        <v>47967</v>
      </c>
      <c r="AI10" s="226">
        <f t="shared" si="0"/>
        <v>56601.06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5850</v>
      </c>
      <c r="AH11" s="62">
        <f>AG11+AG11*'Données à saisir'!D117</f>
        <v>6903</v>
      </c>
      <c r="AI11" s="54">
        <f>AH11+AH11*'Données à saisir'!D118</f>
        <v>8145.54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40650</v>
      </c>
      <c r="BB11" s="60">
        <f>AH10</f>
        <v>47967</v>
      </c>
      <c r="BC11" s="226">
        <f>AI10</f>
        <v>56601.06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2460</v>
      </c>
      <c r="AC12" s="44" t="s">
        <v>122</v>
      </c>
      <c r="AG12" s="62">
        <f>'Données à saisir'!I115</f>
        <v>34800</v>
      </c>
      <c r="AH12" s="62">
        <f>AG12+AG12*'Données à saisir'!I117</f>
        <v>41064</v>
      </c>
      <c r="AI12" s="54">
        <f>AH12+AH12*'Données à saisir'!I118</f>
        <v>48455.519999999997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1462.5</v>
      </c>
      <c r="BB12" s="104">
        <f>AQ15</f>
        <v>1725.75</v>
      </c>
      <c r="BC12" s="120">
        <f>AS15</f>
        <v>2036.385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1462.5</v>
      </c>
      <c r="AH13" s="57">
        <f>AH14</f>
        <v>1725.75</v>
      </c>
      <c r="AI13" s="53">
        <f>AI14</f>
        <v>2036.385</v>
      </c>
      <c r="AL13" s="107" t="s">
        <v>151</v>
      </c>
      <c r="AM13" s="34"/>
      <c r="AN13" s="34"/>
      <c r="AO13" s="119">
        <f>AG10</f>
        <v>40650</v>
      </c>
      <c r="AP13" s="139">
        <v>1</v>
      </c>
      <c r="AQ13" s="119">
        <f>AH10</f>
        <v>47967</v>
      </c>
      <c r="AR13" s="140">
        <v>1</v>
      </c>
      <c r="AS13" s="119">
        <f>AI10</f>
        <v>56601.06</v>
      </c>
      <c r="AT13" s="141">
        <v>1</v>
      </c>
      <c r="AW13" s="123" t="s">
        <v>175</v>
      </c>
      <c r="BA13" s="104">
        <f>BA12</f>
        <v>1462.5</v>
      </c>
      <c r="BB13" s="104">
        <f t="shared" ref="BB13:BC13" si="1">BB12</f>
        <v>1725.75</v>
      </c>
      <c r="BC13" s="120">
        <f t="shared" si="1"/>
        <v>2036.385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>
        <f>IF(ISBLANK('Données à saisir'!B18),"",'Données à saisir'!B18)</f>
        <v>800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1462.5</v>
      </c>
      <c r="AH14" s="62">
        <f>'Données à saisir'!$D$123*'Plan financier à imprimer'!AH11</f>
        <v>1725.75</v>
      </c>
      <c r="AI14" s="54">
        <f>'Données à saisir'!$D$123*'Plan financier à imprimer'!AI11</f>
        <v>2036.385</v>
      </c>
      <c r="AL14" s="38" t="s">
        <v>152</v>
      </c>
      <c r="AO14" s="104">
        <f>AG10</f>
        <v>40650</v>
      </c>
      <c r="AP14" s="142">
        <v>1</v>
      </c>
      <c r="AQ14" s="104">
        <f>AH10</f>
        <v>47967</v>
      </c>
      <c r="AR14" s="143">
        <v>1</v>
      </c>
      <c r="AS14" s="104">
        <f>AI10</f>
        <v>56601.06</v>
      </c>
      <c r="AT14" s="144">
        <v>1</v>
      </c>
      <c r="AW14" s="123" t="s">
        <v>176</v>
      </c>
      <c r="BA14" s="57">
        <f>BA11-BA13</f>
        <v>39187.5</v>
      </c>
      <c r="BB14" s="57">
        <f t="shared" ref="BB14:BC14" si="2">BB11-BB13</f>
        <v>46241.25</v>
      </c>
      <c r="BC14" s="53">
        <f t="shared" si="2"/>
        <v>54564.674999999996</v>
      </c>
      <c r="BF14" s="186" t="s">
        <v>199</v>
      </c>
      <c r="BG14" s="52"/>
      <c r="BH14" s="52"/>
      <c r="BI14" s="52"/>
      <c r="BJ14" s="187">
        <f>Q12+Q23</f>
        <v>87960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143</v>
      </c>
      <c r="U15" s="52"/>
      <c r="V15" s="52"/>
      <c r="W15" s="52"/>
      <c r="X15" s="60">
        <f>'Données à saisir'!B134</f>
        <v>9000</v>
      </c>
      <c r="Y15" s="60">
        <f>'Données à saisir'!C134</f>
        <v>10000</v>
      </c>
      <c r="Z15" s="61">
        <f>'Données à saisir'!D134</f>
        <v>15000</v>
      </c>
      <c r="AC15" s="67"/>
      <c r="AG15" s="62"/>
      <c r="AH15" s="62"/>
      <c r="AI15" s="69"/>
      <c r="AL15" s="70" t="s">
        <v>80</v>
      </c>
      <c r="AO15" s="104">
        <f>AG14</f>
        <v>1462.5</v>
      </c>
      <c r="AP15" s="145">
        <f>AO15/$AO$14</f>
        <v>3.5977859778597784E-2</v>
      </c>
      <c r="AQ15" s="104">
        <f>AH14</f>
        <v>1725.75</v>
      </c>
      <c r="AR15" s="145">
        <f>AQ15/$AQ$14</f>
        <v>3.5977859778597784E-2</v>
      </c>
      <c r="AS15" s="104">
        <f>AI14</f>
        <v>2036.385</v>
      </c>
      <c r="AT15" s="146">
        <f>AS15/$AS$14</f>
        <v>3.5977859778597784E-2</v>
      </c>
      <c r="AW15" s="63" t="s">
        <v>193</v>
      </c>
      <c r="AX15" s="64"/>
      <c r="AY15" s="64"/>
      <c r="AZ15" s="64"/>
      <c r="BA15" s="154">
        <f>IF(ISERROR(BA14/BA11),0,BA14/BA11)</f>
        <v>0.9640221402214022</v>
      </c>
      <c r="BB15" s="154">
        <f t="shared" ref="BB15:BC15" si="3">IF(ISERROR(BB14/BB11),0,BB14/BB11)</f>
        <v>0.9640221402214022</v>
      </c>
      <c r="BC15" s="158">
        <f t="shared" si="3"/>
        <v>0.9640221402214022</v>
      </c>
      <c r="BF15" s="123" t="s">
        <v>264</v>
      </c>
      <c r="BJ15" s="104">
        <f>Q30</f>
        <v>500</v>
      </c>
      <c r="BK15" s="104"/>
      <c r="BL15" s="120"/>
      <c r="BO15" s="192" t="s">
        <v>200</v>
      </c>
      <c r="BP15" s="52"/>
      <c r="BQ15" s="52"/>
      <c r="BR15" s="187">
        <f>BJ19</f>
        <v>50000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50000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0.1111111111111111</v>
      </c>
      <c r="Z16" s="103">
        <f>IF(ISERROR((Z15-Y15)/Y15),"",(Z15-Y15)/Y15)</f>
        <v>0.5</v>
      </c>
      <c r="AC16" s="63" t="s">
        <v>125</v>
      </c>
      <c r="AD16" s="64"/>
      <c r="AE16" s="64"/>
      <c r="AF16" s="64"/>
      <c r="AG16" s="65">
        <f>AG10-AG13</f>
        <v>39187.5</v>
      </c>
      <c r="AH16" s="65">
        <f>AH10-AH13</f>
        <v>46241.25</v>
      </c>
      <c r="AI16" s="66">
        <f>AI10-AI13</f>
        <v>54564.674999999996</v>
      </c>
      <c r="AL16" s="63" t="s">
        <v>154</v>
      </c>
      <c r="AM16" s="64"/>
      <c r="AN16" s="64"/>
      <c r="AO16" s="65">
        <f>AO14-AO15</f>
        <v>39187.5</v>
      </c>
      <c r="AP16" s="147">
        <f t="shared" ref="AP16:AP28" si="5">AO16/$AO$14</f>
        <v>0.9640221402214022</v>
      </c>
      <c r="AQ16" s="65">
        <f t="shared" ref="AQ16:AS16" si="6">AQ14-AQ15</f>
        <v>46241.25</v>
      </c>
      <c r="AR16" s="148">
        <f t="shared" ref="AR16:AR28" si="7">AQ16/$AQ$14</f>
        <v>0.9640221402214022</v>
      </c>
      <c r="AS16" s="65">
        <f t="shared" si="6"/>
        <v>54564.674999999996</v>
      </c>
      <c r="AT16" s="150">
        <f t="shared" ref="AT16:AT28" si="8">AS16/$AS$14</f>
        <v>0.9640221402214022</v>
      </c>
      <c r="AW16" s="123" t="s">
        <v>177</v>
      </c>
      <c r="BA16" s="104">
        <f>SUM(AO17,AO19,AO20,AO22,AO24)</f>
        <v>34599.002477139969</v>
      </c>
      <c r="BB16" s="104">
        <f>SUM(AQ17,AQ19,AQ20,AQ22,AQ24)</f>
        <v>43185.246477139975</v>
      </c>
      <c r="BC16" s="159">
        <f>SUM(AS17,AS19,AS20,AS22,AS24)</f>
        <v>51200.54939713997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41460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41460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4196.55</v>
      </c>
      <c r="Y17" s="57">
        <f>AH40</f>
        <v>9862.7939999999999</v>
      </c>
      <c r="Z17" s="53">
        <f>AI40</f>
        <v>11638.096919999998</v>
      </c>
      <c r="AC17" s="37" t="s">
        <v>126</v>
      </c>
      <c r="AG17" s="57">
        <f>SUM(AG18:AG33)</f>
        <v>8300</v>
      </c>
      <c r="AH17" s="57">
        <f>SUM(AH18:AH33)</f>
        <v>9220</v>
      </c>
      <c r="AI17" s="68">
        <f>SUM(AI18:AI33)</f>
        <v>10460</v>
      </c>
      <c r="AL17" s="70" t="s">
        <v>81</v>
      </c>
      <c r="AO17" s="104">
        <f>AG17</f>
        <v>8300</v>
      </c>
      <c r="AP17" s="145">
        <f t="shared" si="5"/>
        <v>0.20418204182041821</v>
      </c>
      <c r="AQ17" s="104">
        <f>AH17</f>
        <v>9220</v>
      </c>
      <c r="AR17" s="149">
        <f t="shared" si="7"/>
        <v>0.19221548147684867</v>
      </c>
      <c r="AS17" s="104">
        <f>AI17</f>
        <v>10460</v>
      </c>
      <c r="AT17" s="146">
        <f t="shared" si="8"/>
        <v>0.18480219275045379</v>
      </c>
      <c r="AW17" s="63" t="s">
        <v>194</v>
      </c>
      <c r="AX17" s="64"/>
      <c r="AY17" s="64"/>
      <c r="AZ17" s="64"/>
      <c r="BA17" s="65">
        <f>BA12+BA16</f>
        <v>36061.502477139969</v>
      </c>
      <c r="BB17" s="65">
        <f t="shared" ref="BB17:BC17" si="9">BB12+BB16</f>
        <v>44910.996477139975</v>
      </c>
      <c r="BC17" s="66">
        <f t="shared" si="9"/>
        <v>53236.934397139972</v>
      </c>
      <c r="BF17" s="123" t="s">
        <v>198</v>
      </c>
      <c r="BJ17" s="104">
        <f>AO45</f>
        <v>5922.8571428571431</v>
      </c>
      <c r="BK17" s="104">
        <f>AQ45</f>
        <v>5922.8571428571431</v>
      </c>
      <c r="BL17" s="120">
        <f>AS45</f>
        <v>5922.8571428571431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300</v>
      </c>
      <c r="AH18" s="62">
        <f>IF(ISBLANK('Données à saisir'!C77),0,'Données à saisir'!C77)</f>
        <v>320</v>
      </c>
      <c r="AI18" s="54">
        <f>IF(ISBLANK('Données à saisir'!D77),0,'Données à saisir'!D77)</f>
        <v>340</v>
      </c>
      <c r="AL18" s="63" t="s">
        <v>127</v>
      </c>
      <c r="AM18" s="64"/>
      <c r="AN18" s="64"/>
      <c r="AO18" s="65">
        <f>AO16-AO17</f>
        <v>30887.5</v>
      </c>
      <c r="AP18" s="147">
        <f t="shared" si="5"/>
        <v>0.75984009840098399</v>
      </c>
      <c r="AQ18" s="65">
        <f t="shared" ref="AQ18:AS18" si="10">AQ16-AQ17</f>
        <v>37021.25</v>
      </c>
      <c r="AR18" s="148">
        <f t="shared" si="7"/>
        <v>0.77180665874455356</v>
      </c>
      <c r="AS18" s="65">
        <f t="shared" si="10"/>
        <v>44104.674999999996</v>
      </c>
      <c r="AT18" s="150">
        <f t="shared" si="8"/>
        <v>0.77921994747094836</v>
      </c>
      <c r="AW18" s="123" t="s">
        <v>178</v>
      </c>
      <c r="BA18" s="104">
        <f>AG44</f>
        <v>4588.4975228600324</v>
      </c>
      <c r="BB18" s="104">
        <f>AH44</f>
        <v>3056.0035228600282</v>
      </c>
      <c r="BC18" s="159">
        <f>AI44</f>
        <v>3364.1256028600292</v>
      </c>
      <c r="BF18" s="63" t="s">
        <v>196</v>
      </c>
      <c r="BG18" s="64"/>
      <c r="BH18" s="64"/>
      <c r="BI18" s="64"/>
      <c r="BJ18" s="188">
        <f>SUM(BJ14:BJ17)</f>
        <v>94382.857142857145</v>
      </c>
      <c r="BK18" s="189">
        <f>SUM(BK14:BK17)</f>
        <v>5922.8571428571431</v>
      </c>
      <c r="BL18" s="190">
        <f>SUM(BL14:BL17)</f>
        <v>5922.8571428571431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0</v>
      </c>
      <c r="AH19" s="62">
        <f>IF(ISBLANK('Données à saisir'!C78),0,'Données à saisir'!C78)</f>
        <v>0</v>
      </c>
      <c r="AI19" s="54">
        <f>IF(ISBLANK('Données à saisir'!D78),0,'Données à saisir'!D78)</f>
        <v>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2.0847666103779684E-2</v>
      </c>
      <c r="AS19" s="104">
        <f>AI36</f>
        <v>1000</v>
      </c>
      <c r="AT19" s="146">
        <f t="shared" si="8"/>
        <v>1.7667513647270917E-2</v>
      </c>
      <c r="AW19" s="63" t="s">
        <v>195</v>
      </c>
      <c r="AX19" s="64"/>
      <c r="AY19" s="64"/>
      <c r="AZ19" s="64"/>
      <c r="BA19" s="65">
        <f>IF(ISERROR(BA16/BA15),0,BA16/BA15)</f>
        <v>35890.257115042805</v>
      </c>
      <c r="BB19" s="65">
        <f t="shared" ref="BB19:BC19" si="11">IF(ISERROR(BB16/BB15),0,BB16/BB15)</f>
        <v>44796.944671023666</v>
      </c>
      <c r="BC19" s="66">
        <f t="shared" si="11"/>
        <v>53111.383298085864</v>
      </c>
      <c r="BF19" s="123" t="s">
        <v>200</v>
      </c>
      <c r="BJ19" s="104">
        <f>Q37</f>
        <v>50000</v>
      </c>
      <c r="BK19" s="104"/>
      <c r="BL19" s="159"/>
      <c r="BO19" s="192" t="s">
        <v>211</v>
      </c>
      <c r="BP19" s="34"/>
      <c r="BQ19" s="34"/>
      <c r="BR19" s="119">
        <f>'Données à saisir'!D103</f>
        <v>150</v>
      </c>
      <c r="BS19" s="119">
        <f>'Données à saisir'!D104</f>
        <v>360</v>
      </c>
      <c r="BT19" s="119">
        <f>'Données à saisir'!D105</f>
        <v>450</v>
      </c>
      <c r="BU19" s="119">
        <f>'Données à saisir'!D106</f>
        <v>480</v>
      </c>
      <c r="BV19" s="209">
        <f>'Données à saisir'!D107</f>
        <v>540</v>
      </c>
      <c r="BY19" s="210">
        <f>'Données à saisir'!D108</f>
        <v>660</v>
      </c>
      <c r="BZ19" s="119">
        <f>'Données à saisir'!D109</f>
        <v>750</v>
      </c>
      <c r="CA19" s="119">
        <f>'Données à saisir'!D110</f>
        <v>750</v>
      </c>
      <c r="CB19" s="119">
        <f>'Données à saisir'!D111</f>
        <v>540</v>
      </c>
      <c r="CC19" s="119">
        <f>'Données à saisir'!D112</f>
        <v>480</v>
      </c>
      <c r="CD19" s="119">
        <f>'Données à saisir'!D113</f>
        <v>420</v>
      </c>
      <c r="CE19" s="211">
        <f>'Données à saisir'!D114</f>
        <v>270</v>
      </c>
      <c r="CF19" s="213">
        <f>SUM(BR19:CE19)</f>
        <v>5850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153</v>
      </c>
      <c r="AM20" s="1"/>
      <c r="AN20" s="1"/>
      <c r="AO20" s="104">
        <f>SUM(AG37:AG40)</f>
        <v>13196.55</v>
      </c>
      <c r="AP20" s="145">
        <f t="shared" si="5"/>
        <v>0.3246383763837638</v>
      </c>
      <c r="AQ20" s="104">
        <f>SUM(AH37:AH40)</f>
        <v>19862.794000000002</v>
      </c>
      <c r="AR20" s="149">
        <f t="shared" si="7"/>
        <v>0.41409289720015846</v>
      </c>
      <c r="AS20" s="104">
        <f>SUM(AI37:AI40)</f>
        <v>26638.096919999996</v>
      </c>
      <c r="AT20" s="146">
        <f t="shared" si="8"/>
        <v>0.47062894087142532</v>
      </c>
      <c r="AW20" s="123" t="s">
        <v>179</v>
      </c>
      <c r="BA20" s="104">
        <f>BA11-BA19</f>
        <v>4759.7428849571952</v>
      </c>
      <c r="BB20" s="104">
        <f t="shared" ref="BB20:BC20" si="12">BB11-BB19</f>
        <v>3170.0553289763338</v>
      </c>
      <c r="BC20" s="120">
        <f t="shared" si="12"/>
        <v>3489.6767019141334</v>
      </c>
      <c r="BF20" s="123" t="s">
        <v>201</v>
      </c>
      <c r="BJ20" s="104">
        <f>Q40</f>
        <v>41460</v>
      </c>
      <c r="BK20" s="104"/>
      <c r="BL20" s="159"/>
      <c r="BO20" s="123" t="s">
        <v>212</v>
      </c>
      <c r="BR20" s="104">
        <f>'Données à saisir'!I103</f>
        <v>800</v>
      </c>
      <c r="BS20" s="104">
        <f>'Données à saisir'!I104</f>
        <v>1920</v>
      </c>
      <c r="BT20" s="104">
        <f>'Données à saisir'!I105</f>
        <v>2400</v>
      </c>
      <c r="BU20" s="104">
        <f>'Données à saisir'!I106</f>
        <v>2560</v>
      </c>
      <c r="BV20" s="159">
        <f>'Données à saisir'!I107</f>
        <v>3600</v>
      </c>
      <c r="BY20" s="196">
        <f>'Données à saisir'!I108</f>
        <v>4400</v>
      </c>
      <c r="BZ20" s="104">
        <f>'Données à saisir'!I109</f>
        <v>5000</v>
      </c>
      <c r="CA20" s="104">
        <f>'Données à saisir'!I110</f>
        <v>5000</v>
      </c>
      <c r="CB20" s="104">
        <f>'Données à saisir'!I111</f>
        <v>2880</v>
      </c>
      <c r="CC20" s="104">
        <f>'Données à saisir'!I112</f>
        <v>2560</v>
      </c>
      <c r="CD20" s="104">
        <f>'Données à saisir'!I113</f>
        <v>2240</v>
      </c>
      <c r="CE20" s="132">
        <f>'Données à saisir'!I114</f>
        <v>1440</v>
      </c>
      <c r="CF20" s="201">
        <f t="shared" ref="CF20:CF24" si="13">SUM(BR20:CE20)</f>
        <v>34800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400</v>
      </c>
      <c r="AH21" s="62">
        <f>IF(ISBLANK('Données à saisir'!C80),0,'Données à saisir'!C80)</f>
        <v>500</v>
      </c>
      <c r="AI21" s="54">
        <f>IF(ISBLANK('Données à saisir'!D80),0,'Données à saisir'!D80)</f>
        <v>600</v>
      </c>
      <c r="AL21" s="63" t="s">
        <v>128</v>
      </c>
      <c r="AM21" s="64"/>
      <c r="AN21" s="64"/>
      <c r="AO21" s="65">
        <f>AO18-AO19-AO20</f>
        <v>17690.95</v>
      </c>
      <c r="AP21" s="147">
        <f t="shared" si="5"/>
        <v>0.43520172201722018</v>
      </c>
      <c r="AQ21" s="65">
        <f t="shared" ref="AQ21:AS21" si="14">AQ18-AQ19-AQ20</f>
        <v>16158.455999999998</v>
      </c>
      <c r="AR21" s="148">
        <f t="shared" si="7"/>
        <v>0.33686609544061541</v>
      </c>
      <c r="AS21" s="65">
        <f t="shared" si="14"/>
        <v>16466.578079999999</v>
      </c>
      <c r="AT21" s="150">
        <f t="shared" si="8"/>
        <v>0.29092349295225212</v>
      </c>
      <c r="AW21" s="208" t="s">
        <v>180</v>
      </c>
      <c r="AX21" s="36"/>
      <c r="AY21" s="36"/>
      <c r="AZ21" s="36"/>
      <c r="BA21" s="156">
        <f>BA19/250</f>
        <v>143.56102846017123</v>
      </c>
      <c r="BB21" s="156">
        <f t="shared" ref="BB21:BC21" si="15">BB19/250</f>
        <v>179.18777868409467</v>
      </c>
      <c r="BC21" s="157">
        <f t="shared" si="15"/>
        <v>212.44553319234345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950</v>
      </c>
      <c r="BS21" s="65">
        <f t="shared" ref="BS21:BV21" si="16">SUM(BS19:BS20)</f>
        <v>2280</v>
      </c>
      <c r="BT21" s="65">
        <f t="shared" si="16"/>
        <v>2850</v>
      </c>
      <c r="BU21" s="65">
        <f t="shared" si="16"/>
        <v>3040</v>
      </c>
      <c r="BV21" s="66">
        <f t="shared" si="16"/>
        <v>4140</v>
      </c>
      <c r="BY21" s="197">
        <f t="shared" ref="BY21:CE21" si="17">SUM(BY19:BY20)</f>
        <v>5060</v>
      </c>
      <c r="BZ21" s="65">
        <f t="shared" si="17"/>
        <v>5750</v>
      </c>
      <c r="CA21" s="65">
        <f t="shared" si="17"/>
        <v>5750</v>
      </c>
      <c r="CB21" s="65">
        <f t="shared" si="17"/>
        <v>3420</v>
      </c>
      <c r="CC21" s="65">
        <f t="shared" si="17"/>
        <v>3040</v>
      </c>
      <c r="CD21" s="65">
        <f t="shared" si="17"/>
        <v>2660</v>
      </c>
      <c r="CE21" s="131">
        <f t="shared" si="17"/>
        <v>1710</v>
      </c>
      <c r="CF21" s="200">
        <f t="shared" si="13"/>
        <v>40650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12451.428571428571</v>
      </c>
      <c r="AP22" s="145">
        <f t="shared" si="5"/>
        <v>0.30630820593920222</v>
      </c>
      <c r="AQ22" s="104">
        <f>AH43</f>
        <v>12451.428571428571</v>
      </c>
      <c r="AR22" s="149">
        <f t="shared" si="7"/>
        <v>0.2595832253722053</v>
      </c>
      <c r="AS22" s="104">
        <f>AI43</f>
        <v>12451.428571428571</v>
      </c>
      <c r="AT22" s="146">
        <f t="shared" si="8"/>
        <v>0.2199857842137333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2460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2460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85500</v>
      </c>
      <c r="AC23" s="44" t="str">
        <f>'Données à saisir'!A82</f>
        <v>Eau, électricité, gaz</v>
      </c>
      <c r="AG23" s="62">
        <f>IF(ISBLANK('Données à saisir'!B82),0,'Données à saisir'!B82)</f>
        <v>1800</v>
      </c>
      <c r="AH23" s="62">
        <f>IF(ISBLANK('Données à saisir'!C82),0,'Données à saisir'!C82)</f>
        <v>2000</v>
      </c>
      <c r="AI23" s="54">
        <f>IF(ISBLANK('Données à saisir'!D82),0,'Données à saisir'!D82)</f>
        <v>2200</v>
      </c>
      <c r="AL23" s="63" t="s">
        <v>156</v>
      </c>
      <c r="AM23" s="64"/>
      <c r="AN23" s="64"/>
      <c r="AO23" s="65">
        <f>AO21-AO22</f>
        <v>5239.5214285714301</v>
      </c>
      <c r="AP23" s="147">
        <f t="shared" si="5"/>
        <v>0.12889351607801797</v>
      </c>
      <c r="AQ23" s="65">
        <f t="shared" ref="AQ23:AS23" si="18">AQ21-AQ22</f>
        <v>3707.0274285714277</v>
      </c>
      <c r="AR23" s="148">
        <f t="shared" si="7"/>
        <v>7.7282870068410114E-2</v>
      </c>
      <c r="AS23" s="65">
        <f t="shared" si="18"/>
        <v>4015.1495085714287</v>
      </c>
      <c r="AT23" s="150">
        <f t="shared" si="8"/>
        <v>7.0937708738518832E-2</v>
      </c>
      <c r="AW23" s="4"/>
      <c r="BA23" s="99"/>
      <c r="BB23" s="99"/>
      <c r="BC23" s="99"/>
      <c r="BF23" s="123" t="s">
        <v>204</v>
      </c>
      <c r="BJ23" s="104">
        <f>AO44</f>
        <v>17039.926094288603</v>
      </c>
      <c r="BK23" s="104">
        <f>AQ44</f>
        <v>15507.432094288599</v>
      </c>
      <c r="BL23" s="159">
        <f>AS44</f>
        <v>15815.5541742886</v>
      </c>
      <c r="BO23" s="123" t="s">
        <v>70</v>
      </c>
      <c r="BR23" s="104">
        <f>Q23</f>
        <v>85500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85500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651.02390571139904</v>
      </c>
      <c r="AP24" s="145">
        <f t="shared" si="5"/>
        <v>1.6015348233982755E-2</v>
      </c>
      <c r="AQ24" s="104">
        <f>AH42</f>
        <v>651.02390571139904</v>
      </c>
      <c r="AR24" s="149">
        <f t="shared" si="7"/>
        <v>1.3572329011849793E-2</v>
      </c>
      <c r="AS24" s="104">
        <f>AI42</f>
        <v>651.02390571139904</v>
      </c>
      <c r="AT24" s="146">
        <f t="shared" si="8"/>
        <v>1.1501973738855758E-2</v>
      </c>
      <c r="BF24" s="63" t="s">
        <v>205</v>
      </c>
      <c r="BG24" s="64"/>
      <c r="BH24" s="64"/>
      <c r="BI24" s="64"/>
      <c r="BJ24" s="65">
        <f>SUM(BJ19:BJ23)</f>
        <v>108499.9260942886</v>
      </c>
      <c r="BK24" s="65">
        <f>SUM(BK19:BK23)</f>
        <v>15507.432094288599</v>
      </c>
      <c r="BL24" s="66">
        <f>SUM(BL19:BL23)</f>
        <v>15815.5541742886</v>
      </c>
      <c r="BO24" s="63" t="s">
        <v>225</v>
      </c>
      <c r="BP24" s="64"/>
      <c r="BQ24" s="64"/>
      <c r="BR24" s="65">
        <f>SUM(BR22:BR23)</f>
        <v>87960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87960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300</v>
      </c>
      <c r="AH25" s="62">
        <f>IF(ISBLANK('Données à saisir'!C84),0,'Données à saisir'!C84)</f>
        <v>330</v>
      </c>
      <c r="AI25" s="54">
        <f>IF(ISBLANK('Données à saisir'!D84),0,'Données à saisir'!D84)</f>
        <v>350</v>
      </c>
      <c r="AL25" s="38" t="s">
        <v>157</v>
      </c>
      <c r="AM25" s="1"/>
      <c r="AN25" s="1"/>
      <c r="AO25" s="104">
        <f>AO24*-1</f>
        <v>-651.02390571139904</v>
      </c>
      <c r="AP25" s="145">
        <f t="shared" si="5"/>
        <v>-1.6015348233982755E-2</v>
      </c>
      <c r="AQ25" s="104">
        <f t="shared" ref="AQ25:AS25" si="19">AQ24*-1</f>
        <v>-651.02390571139904</v>
      </c>
      <c r="AR25" s="149">
        <f t="shared" si="7"/>
        <v>-1.3572329011849793E-2</v>
      </c>
      <c r="AS25" s="104">
        <f t="shared" si="19"/>
        <v>-651.02390571139904</v>
      </c>
      <c r="AT25" s="146">
        <f t="shared" si="8"/>
        <v>-1.1501973738855758E-2</v>
      </c>
      <c r="BA25" s="90"/>
      <c r="BF25" s="123" t="s">
        <v>206</v>
      </c>
      <c r="BJ25" s="104">
        <f>BJ24-BJ18</f>
        <v>14117.068951431458</v>
      </c>
      <c r="BK25" s="104">
        <f>BK24-BK18</f>
        <v>9584.5749514314557</v>
      </c>
      <c r="BL25" s="120">
        <f>BL24-BL18</f>
        <v>9892.6970314314567</v>
      </c>
      <c r="BO25" s="123" t="s">
        <v>259</v>
      </c>
      <c r="BR25" s="104">
        <f>Q30</f>
        <v>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60000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400</v>
      </c>
      <c r="AH26" s="62">
        <f>IF(ISBLANK('Données à saisir'!C85),0,'Données à saisir'!C85)</f>
        <v>450</v>
      </c>
      <c r="AI26" s="54">
        <f>IF(ISBLANK('Données à saisir'!D85),0,'Données à saisir'!D85)</f>
        <v>500</v>
      </c>
      <c r="AL26" s="63" t="s">
        <v>159</v>
      </c>
      <c r="AM26" s="64"/>
      <c r="AN26" s="64"/>
      <c r="AO26" s="65">
        <f>AO23+AO25</f>
        <v>4588.4975228600306</v>
      </c>
      <c r="AP26" s="147">
        <f t="shared" si="5"/>
        <v>0.11287816784403519</v>
      </c>
      <c r="AQ26" s="65">
        <f t="shared" ref="AQ26:AS26" si="21">AQ23+AQ25</f>
        <v>3056.0035228600286</v>
      </c>
      <c r="AR26" s="148">
        <f t="shared" si="7"/>
        <v>6.3710541056560321E-2</v>
      </c>
      <c r="AS26" s="65">
        <f t="shared" si="21"/>
        <v>3364.1256028600296</v>
      </c>
      <c r="AT26" s="150">
        <f t="shared" si="8"/>
        <v>5.9435734999663078E-2</v>
      </c>
      <c r="BF26" s="63" t="s">
        <v>260</v>
      </c>
      <c r="BG26" s="64"/>
      <c r="BH26" s="64"/>
      <c r="BI26" s="64"/>
      <c r="BJ26" s="65">
        <f>BJ25</f>
        <v>14117.068951431458</v>
      </c>
      <c r="BK26" s="65">
        <f>BJ26+BK25</f>
        <v>23701.643902862914</v>
      </c>
      <c r="BL26" s="66">
        <f>+BK26+BL25</f>
        <v>33594.340934294371</v>
      </c>
      <c r="BO26" s="123" t="s">
        <v>226</v>
      </c>
      <c r="BR26" s="104">
        <f>IF(ISERROR('Données à saisir'!$J$73/12),0,'Données à saisir'!$J$73/12)</f>
        <v>493.57142857142861</v>
      </c>
      <c r="BS26" s="104">
        <f>IF(ISERROR('Données à saisir'!$J$73/12),0,'Données à saisir'!$J$73/12)</f>
        <v>493.57142857142861</v>
      </c>
      <c r="BT26" s="104">
        <f>IF(ISERROR('Données à saisir'!$J$73/12),0,'Données à saisir'!$J$73/12)</f>
        <v>493.57142857142861</v>
      </c>
      <c r="BU26" s="104">
        <f>IF(ISERROR('Données à saisir'!$J$73/12),0,'Données à saisir'!$J$73/12)</f>
        <v>493.57142857142861</v>
      </c>
      <c r="BV26" s="120">
        <f>IF(ISERROR('Données à saisir'!$J$73/12),0,'Données à saisir'!$J$73/12)</f>
        <v>493.57142857142861</v>
      </c>
      <c r="BY26" s="196">
        <f>IF(ISERROR('Données à saisir'!$J$73/12),0,'Données à saisir'!$J$73/12)</f>
        <v>493.57142857142861</v>
      </c>
      <c r="BZ26" s="104">
        <f>IF(ISERROR('Données à saisir'!$J$73/12),0,'Données à saisir'!$J$73/12)</f>
        <v>493.57142857142861</v>
      </c>
      <c r="CA26" s="104">
        <f>IF(ISERROR('Données à saisir'!$J$73/12),0,'Données à saisir'!$J$73/12)</f>
        <v>493.57142857142861</v>
      </c>
      <c r="CB26" s="104">
        <f>IF(ISERROR('Données à saisir'!$J$73/12),0,'Données à saisir'!$J$73/12)</f>
        <v>493.57142857142861</v>
      </c>
      <c r="CC26" s="104">
        <f>IF(ISERROR('Données à saisir'!$J$73/12),0,'Données à saisir'!$J$73/12)</f>
        <v>493.57142857142861</v>
      </c>
      <c r="CD26" s="104">
        <f>IF(ISERROR('Données à saisir'!$J$73/12),0,'Données à saisir'!$J$73/12)</f>
        <v>493.57142857142861</v>
      </c>
      <c r="CE26" s="132">
        <f>IF(ISERROR('Données à saisir'!$J$73/12),0,'Données à saisir'!$J$73/12)</f>
        <v>493.57142857142861</v>
      </c>
      <c r="CF26" s="201">
        <f t="shared" si="20"/>
        <v>5922.8571428571422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20000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600</v>
      </c>
      <c r="AH27" s="62">
        <f>IF(ISBLANK('Données à saisir'!C86),0,'Données à saisir'!C86)</f>
        <v>700</v>
      </c>
      <c r="AI27" s="54">
        <f>IF(ISBLANK('Données à saisir'!D86),0,'Données à saisir'!D86)</f>
        <v>800</v>
      </c>
      <c r="AL27" s="63" t="s">
        <v>160</v>
      </c>
      <c r="AM27" s="64"/>
      <c r="AN27" s="64"/>
      <c r="AO27" s="65">
        <f>IF(ISERROR(AO26-AG45),AO26,(AO26-AG45))</f>
        <v>4588.4975228600306</v>
      </c>
      <c r="AP27" s="147">
        <f t="shared" si="5"/>
        <v>0.11287816784403519</v>
      </c>
      <c r="AQ27" s="65">
        <f>IF(ISERROR(AQ26-AH45),AQ26,(AQ26-AH45))</f>
        <v>3056.0035228600286</v>
      </c>
      <c r="AR27" s="148">
        <f t="shared" si="7"/>
        <v>6.3710541056560321E-2</v>
      </c>
      <c r="AS27" s="65">
        <f>IF(ISERROR(AS26-AI45),AS26,(AS26-AI45))</f>
        <v>3364.1256028600296</v>
      </c>
      <c r="AT27" s="150">
        <f t="shared" si="8"/>
        <v>5.9435734999663078E-2</v>
      </c>
      <c r="BO27" s="123" t="s">
        <v>227</v>
      </c>
      <c r="BR27" s="104">
        <f>BR19*'Données à saisir'!$D$123</f>
        <v>37.5</v>
      </c>
      <c r="BS27" s="104">
        <f>BS19*'Données à saisir'!$D$123</f>
        <v>90</v>
      </c>
      <c r="BT27" s="104">
        <f>BT19*'Données à saisir'!$D$123</f>
        <v>112.5</v>
      </c>
      <c r="BU27" s="104">
        <f>BU19*'Données à saisir'!$D$123</f>
        <v>120</v>
      </c>
      <c r="BV27" s="120">
        <f>BV19*'Données à saisir'!$D$123</f>
        <v>135</v>
      </c>
      <c r="BY27" s="196">
        <f>BY19*'Données à saisir'!$D$123</f>
        <v>165</v>
      </c>
      <c r="BZ27" s="104">
        <f>BZ19*'Données à saisir'!$D$123</f>
        <v>187.5</v>
      </c>
      <c r="CA27" s="104">
        <f>CA19*'Données à saisir'!$D$123</f>
        <v>187.5</v>
      </c>
      <c r="CB27" s="104">
        <f>CB19*'Données à saisir'!$D$123</f>
        <v>135</v>
      </c>
      <c r="CC27" s="104">
        <f>CC19*'Données à saisir'!$D$123</f>
        <v>120</v>
      </c>
      <c r="CD27" s="104">
        <f>CD19*'Données à saisir'!$D$123</f>
        <v>105</v>
      </c>
      <c r="CE27" s="132">
        <f>CE19*'Données à saisir'!$D$123</f>
        <v>67.5</v>
      </c>
      <c r="CF27" s="201">
        <f t="shared" si="20"/>
        <v>1462.5</v>
      </c>
    </row>
    <row r="28" spans="2:84" ht="15.1" customHeight="1" thickBot="1" x14ac:dyDescent="0.3">
      <c r="B28" s="26"/>
      <c r="C28" s="335" t="str">
        <f>IF(ISBLANK('Données à saisir'!B7),"",('Données à saisir'!B7))</f>
        <v>Gîte et chambres d'hôtes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1200</v>
      </c>
      <c r="AH28" s="62">
        <f>IF(ISBLANK('Données à saisir'!C87),0,'Données à saisir'!C87)</f>
        <v>900</v>
      </c>
      <c r="AI28" s="54">
        <f>IF(ISBLANK('Données à saisir'!D87),0,'Données à saisir'!D87)</f>
        <v>1000</v>
      </c>
      <c r="AL28" s="38" t="s">
        <v>158</v>
      </c>
      <c r="AM28" s="1"/>
      <c r="AN28" s="1"/>
      <c r="AO28" s="104">
        <f>AO27+AO22</f>
        <v>17039.926094288603</v>
      </c>
      <c r="AP28" s="145">
        <f t="shared" si="5"/>
        <v>0.41918637378323748</v>
      </c>
      <c r="AQ28" s="104">
        <f t="shared" ref="AQ28:AS28" si="22">AQ27+AQ22</f>
        <v>15507.432094288599</v>
      </c>
      <c r="AR28" s="149">
        <f t="shared" si="7"/>
        <v>0.32329376642876556</v>
      </c>
      <c r="AS28" s="104">
        <f t="shared" si="22"/>
        <v>15815.5541742886</v>
      </c>
      <c r="AT28" s="151">
        <f t="shared" si="8"/>
        <v>0.27942151921339636</v>
      </c>
      <c r="BF28" s="92" t="s">
        <v>256</v>
      </c>
      <c r="BI28" s="314">
        <f>Q31</f>
        <v>3000</v>
      </c>
      <c r="BJ28" s="314"/>
      <c r="BO28" s="123" t="s">
        <v>81</v>
      </c>
      <c r="BR28" s="104">
        <f>$AG$17/12</f>
        <v>691.66666666666663</v>
      </c>
      <c r="BS28" s="104">
        <f t="shared" ref="BS28:CE28" si="23">$AG$17/12</f>
        <v>691.66666666666663</v>
      </c>
      <c r="BT28" s="104">
        <f t="shared" si="23"/>
        <v>691.66666666666663</v>
      </c>
      <c r="BU28" s="104">
        <f t="shared" si="23"/>
        <v>691.66666666666663</v>
      </c>
      <c r="BV28" s="120">
        <f t="shared" si="23"/>
        <v>691.66666666666663</v>
      </c>
      <c r="BY28" s="196">
        <f t="shared" si="23"/>
        <v>691.66666666666663</v>
      </c>
      <c r="BZ28" s="104">
        <f t="shared" si="23"/>
        <v>691.66666666666663</v>
      </c>
      <c r="CA28" s="104">
        <f t="shared" si="23"/>
        <v>691.66666666666663</v>
      </c>
      <c r="CB28" s="104">
        <f t="shared" si="23"/>
        <v>691.66666666666663</v>
      </c>
      <c r="CC28" s="104">
        <f t="shared" si="23"/>
        <v>691.66666666666663</v>
      </c>
      <c r="CD28" s="104">
        <f t="shared" si="23"/>
        <v>691.66666666666663</v>
      </c>
      <c r="CE28" s="132">
        <f t="shared" si="23"/>
        <v>691.66666666666663</v>
      </c>
      <c r="CF28" s="201">
        <f t="shared" si="20"/>
        <v>8300.0000000000018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3000</v>
      </c>
      <c r="T31" s="107" t="s">
        <v>147</v>
      </c>
      <c r="U31" s="34"/>
      <c r="V31" s="34"/>
      <c r="W31" s="34"/>
      <c r="X31" s="110">
        <f>SUM(X33:X39)</f>
        <v>237.14285714285717</v>
      </c>
      <c r="Y31" s="110">
        <f>SUM(Y33:Y39)</f>
        <v>237.14285714285717</v>
      </c>
      <c r="Z31" s="111">
        <f>SUM(Z33:Z39)</f>
        <v>237.14285714285717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320</v>
      </c>
      <c r="AI31" s="69">
        <f>IF(ISBLANK('Données à saisir'!D93),0,'Données à saisir'!D93)</f>
        <v>320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91460</v>
      </c>
      <c r="T32" s="35"/>
      <c r="X32" s="234"/>
      <c r="Y32" s="234"/>
      <c r="Z32" s="235"/>
      <c r="AC32" s="44" t="str">
        <f>IF(ISBLANK('Données à saisir'!A94),"",'Données à saisir'!A94)</f>
        <v>Cotisations labels et office de tourisme</v>
      </c>
      <c r="AD32" s="50"/>
      <c r="AE32" s="50"/>
      <c r="AF32" s="50"/>
      <c r="AG32" s="62">
        <f>IF(ISBLANK('Données à saisir'!B94),0,'Données à saisir'!B94)</f>
        <v>600</v>
      </c>
      <c r="AH32" s="62">
        <f>IF(ISBLANK('Données à saisir'!C94),0,'Données à saisir'!C94)</f>
        <v>600</v>
      </c>
      <c r="AI32" s="69">
        <f>IF(ISBLANK('Données à saisir'!D94),0,'Données à saisir'!D94)</f>
        <v>650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750</v>
      </c>
      <c r="BS32" s="104">
        <f t="shared" si="24"/>
        <v>750</v>
      </c>
      <c r="BT32" s="104">
        <f t="shared" si="24"/>
        <v>750</v>
      </c>
      <c r="BU32" s="104">
        <f t="shared" si="24"/>
        <v>750</v>
      </c>
      <c r="BV32" s="120">
        <f t="shared" si="24"/>
        <v>750</v>
      </c>
      <c r="BY32" s="196">
        <f t="shared" si="25"/>
        <v>750</v>
      </c>
      <c r="BZ32" s="104">
        <f t="shared" si="25"/>
        <v>750</v>
      </c>
      <c r="CA32" s="104">
        <f t="shared" si="25"/>
        <v>750</v>
      </c>
      <c r="CB32" s="104">
        <f t="shared" si="25"/>
        <v>750</v>
      </c>
      <c r="CC32" s="104">
        <f t="shared" si="25"/>
        <v>750</v>
      </c>
      <c r="CD32" s="104">
        <f t="shared" si="25"/>
        <v>750</v>
      </c>
      <c r="CE32" s="132">
        <f t="shared" si="25"/>
        <v>750</v>
      </c>
      <c r="CF32" s="201">
        <f t="shared" si="20"/>
        <v>9000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8.5714285714285712</v>
      </c>
      <c r="Y33" s="113">
        <f>'Données à saisir'!D40</f>
        <v>8.5714285714285712</v>
      </c>
      <c r="Z33" s="236">
        <f>'Données à saisir'!E40</f>
        <v>8.5714285714285712</v>
      </c>
      <c r="AC33" s="44" t="str">
        <f>IF(ISBLANK('Données à saisir'!A95),"",'Données à saisir'!A95)</f>
        <v>Commissions plateformes réservation</v>
      </c>
      <c r="AG33" s="62">
        <f>IF(ISBLANK('Données à saisir'!B95),0,'Données à saisir'!B95)</f>
        <v>2400</v>
      </c>
      <c r="AH33" s="62">
        <f>IF(ISBLANK('Données à saisir'!C95),0,'Données à saisir'!C95)</f>
        <v>3100</v>
      </c>
      <c r="AI33" s="69">
        <f>IF(ISBLANK('Données à saisir'!D95),0,'Données à saisir'!D95)</f>
        <v>3700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349.71250000000003</v>
      </c>
      <c r="BS33" s="104">
        <f t="shared" si="24"/>
        <v>349.71250000000003</v>
      </c>
      <c r="BT33" s="104">
        <f t="shared" si="24"/>
        <v>349.71250000000003</v>
      </c>
      <c r="BU33" s="104">
        <f t="shared" si="24"/>
        <v>349.71250000000003</v>
      </c>
      <c r="BV33" s="120">
        <f t="shared" si="24"/>
        <v>349.71250000000003</v>
      </c>
      <c r="BY33" s="196">
        <f t="shared" si="25"/>
        <v>349.71250000000003</v>
      </c>
      <c r="BZ33" s="104">
        <f t="shared" si="25"/>
        <v>349.71250000000003</v>
      </c>
      <c r="CA33" s="104">
        <f t="shared" si="25"/>
        <v>349.71250000000003</v>
      </c>
      <c r="CB33" s="104">
        <f t="shared" si="25"/>
        <v>349.71250000000003</v>
      </c>
      <c r="CC33" s="104">
        <f t="shared" si="25"/>
        <v>349.71250000000003</v>
      </c>
      <c r="CD33" s="104">
        <f t="shared" si="25"/>
        <v>349.71250000000003</v>
      </c>
      <c r="CE33" s="132">
        <f t="shared" si="25"/>
        <v>349.71250000000003</v>
      </c>
      <c r="CF33" s="201">
        <f t="shared" si="20"/>
        <v>4196.55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142.85714285714286</v>
      </c>
      <c r="Y34" s="113">
        <f>'Données à saisir'!D42</f>
        <v>142.85714285714286</v>
      </c>
      <c r="Z34" s="236">
        <f>'Données à saisir'!E42</f>
        <v>142.85714285714286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1099.7125000000001</v>
      </c>
      <c r="BS34" s="65">
        <f t="shared" ref="BS34:CE34" si="27">SUM(BS30:BS33)</f>
        <v>1099.7125000000001</v>
      </c>
      <c r="BT34" s="65">
        <f t="shared" si="27"/>
        <v>1099.7125000000001</v>
      </c>
      <c r="BU34" s="65">
        <f t="shared" si="27"/>
        <v>1099.7125000000001</v>
      </c>
      <c r="BV34" s="66">
        <f t="shared" si="27"/>
        <v>1099.7125000000001</v>
      </c>
      <c r="BY34" s="197">
        <f t="shared" si="27"/>
        <v>1099.7125000000001</v>
      </c>
      <c r="BZ34" s="65">
        <f t="shared" si="27"/>
        <v>1099.7125000000001</v>
      </c>
      <c r="CA34" s="65">
        <f t="shared" si="27"/>
        <v>1099.7125000000001</v>
      </c>
      <c r="CB34" s="65">
        <f t="shared" si="27"/>
        <v>1099.7125000000001</v>
      </c>
      <c r="CC34" s="65">
        <f t="shared" si="27"/>
        <v>1099.7125000000001</v>
      </c>
      <c r="CD34" s="65">
        <f t="shared" si="27"/>
        <v>1099.7125000000001</v>
      </c>
      <c r="CE34" s="131">
        <f t="shared" si="27"/>
        <v>1099.7125000000001</v>
      </c>
      <c r="CF34" s="200">
        <f t="shared" si="20"/>
        <v>13196.549999999997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30887.5</v>
      </c>
      <c r="AH35" s="65">
        <f>AH16-AH17</f>
        <v>37021.25</v>
      </c>
      <c r="AI35" s="66">
        <f>AI16-AI17</f>
        <v>44104.674999999996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54.251992142616587</v>
      </c>
      <c r="BS35" s="104">
        <f>$AG42/12</f>
        <v>54.251992142616587</v>
      </c>
      <c r="BT35" s="104">
        <f>$AG42/12</f>
        <v>54.251992142616587</v>
      </c>
      <c r="BU35" s="104">
        <f>$AG42/12</f>
        <v>54.251992142616587</v>
      </c>
      <c r="BV35" s="120">
        <f>$AG42/12</f>
        <v>54.251992142616587</v>
      </c>
      <c r="BY35" s="196">
        <f t="shared" ref="BY35:CE35" si="28">$AG42/12</f>
        <v>54.251992142616587</v>
      </c>
      <c r="BZ35" s="104">
        <f t="shared" si="28"/>
        <v>54.251992142616587</v>
      </c>
      <c r="CA35" s="104">
        <f t="shared" si="28"/>
        <v>54.251992142616587</v>
      </c>
      <c r="CB35" s="104">
        <f t="shared" si="28"/>
        <v>54.251992142616587</v>
      </c>
      <c r="CC35" s="104">
        <f t="shared" si="28"/>
        <v>54.251992142616587</v>
      </c>
      <c r="CD35" s="104">
        <f t="shared" si="28"/>
        <v>54.251992142616587</v>
      </c>
      <c r="CE35" s="132">
        <f t="shared" si="28"/>
        <v>54.251992142616587</v>
      </c>
      <c r="CF35" s="201">
        <f t="shared" si="20"/>
        <v>651.02390571139904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85.714285714285708</v>
      </c>
      <c r="Y36" s="113">
        <f>'Données à saisir'!D48</f>
        <v>85.714285714285708</v>
      </c>
      <c r="Z36" s="236">
        <f>'Données à saisir'!E48</f>
        <v>85.714285714285708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90836.702587380714</v>
      </c>
      <c r="BS36" s="65">
        <f>SUM(BS24:BS29,BS34:BS35)</f>
        <v>2429.202587380712</v>
      </c>
      <c r="BT36" s="65">
        <f>SUM(BT24:BT29,BT34:BT35)</f>
        <v>2451.702587380712</v>
      </c>
      <c r="BU36" s="65">
        <f>SUM(BU24:BU29,BU34:BU35)</f>
        <v>2459.202587380712</v>
      </c>
      <c r="BV36" s="66">
        <f>SUM(BV24:BV29,BV34:BV35)</f>
        <v>2474.202587380712</v>
      </c>
      <c r="BY36" s="197">
        <f t="shared" ref="BY36:CE36" si="29">SUM(BY24:BY29,BY34:BY35)</f>
        <v>2504.202587380712</v>
      </c>
      <c r="BZ36" s="65">
        <f t="shared" si="29"/>
        <v>2526.702587380712</v>
      </c>
      <c r="CA36" s="65">
        <f t="shared" si="29"/>
        <v>2526.702587380712</v>
      </c>
      <c r="CB36" s="65">
        <f t="shared" si="29"/>
        <v>2474.202587380712</v>
      </c>
      <c r="CC36" s="65">
        <f t="shared" si="29"/>
        <v>2459.202587380712</v>
      </c>
      <c r="CD36" s="65">
        <f t="shared" si="29"/>
        <v>2444.202587380712</v>
      </c>
      <c r="CE36" s="131">
        <f t="shared" si="29"/>
        <v>2406.702587380712</v>
      </c>
      <c r="CF36" s="200">
        <f t="shared" si="20"/>
        <v>117992.93104856857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50000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92410</v>
      </c>
      <c r="BS37" s="65">
        <f>SUM(BS15:BS20)</f>
        <v>2280</v>
      </c>
      <c r="BT37" s="65">
        <f>SUM(BT15:BT20)</f>
        <v>2850</v>
      </c>
      <c r="BU37" s="65">
        <f>SUM(BU15:BU20)</f>
        <v>3040</v>
      </c>
      <c r="BV37" s="66">
        <f>SUM(BV15:BV20)</f>
        <v>4140</v>
      </c>
      <c r="BY37" s="197">
        <f t="shared" ref="BY37:CE37" si="30">SUM(BY15:BY20)</f>
        <v>5060</v>
      </c>
      <c r="BZ37" s="65">
        <f t="shared" si="30"/>
        <v>5750</v>
      </c>
      <c r="CA37" s="65">
        <f t="shared" si="30"/>
        <v>5750</v>
      </c>
      <c r="CB37" s="65">
        <f t="shared" si="30"/>
        <v>3420</v>
      </c>
      <c r="CC37" s="65">
        <f t="shared" si="30"/>
        <v>3040</v>
      </c>
      <c r="CD37" s="65">
        <f t="shared" si="30"/>
        <v>2660</v>
      </c>
      <c r="CE37" s="131">
        <f t="shared" si="30"/>
        <v>1710</v>
      </c>
      <c r="CF37" s="200">
        <f t="shared" ref="CF37" si="31">SUM(BR37:CE37)</f>
        <v>132110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50000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1573.2974126192858</v>
      </c>
      <c r="BT38" s="104">
        <f>BS40</f>
        <v>1424.0948252385738</v>
      </c>
      <c r="BU38" s="104">
        <f>BT40</f>
        <v>1822.3922378578618</v>
      </c>
      <c r="BV38" s="159">
        <f>BU40</f>
        <v>2403.1896504771498</v>
      </c>
      <c r="BY38" s="196">
        <f>BV40</f>
        <v>4068.9870630964379</v>
      </c>
      <c r="BZ38" s="104">
        <f t="shared" ref="BZ38:CE38" si="32">BY40</f>
        <v>6624.7844757157254</v>
      </c>
      <c r="CA38" s="104">
        <f t="shared" si="32"/>
        <v>9848.081888335013</v>
      </c>
      <c r="CB38" s="104">
        <f t="shared" si="32"/>
        <v>13071.379300954301</v>
      </c>
      <c r="CC38" s="104">
        <f t="shared" si="32"/>
        <v>14017.176713573588</v>
      </c>
      <c r="CD38" s="104">
        <f t="shared" si="32"/>
        <v>14597.974126192876</v>
      </c>
      <c r="CE38" s="132">
        <f t="shared" si="32"/>
        <v>14813.771538812163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9000</v>
      </c>
      <c r="AH39" s="57">
        <f>'Données à saisir'!C134</f>
        <v>10000</v>
      </c>
      <c r="AI39" s="53">
        <f>'Données à saisir'!D134</f>
        <v>15000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1573.2974126192858</v>
      </c>
      <c r="BS39" s="57">
        <f t="shared" ref="BS39:CE39" si="33">BS37-BS36</f>
        <v>-149.20258738071198</v>
      </c>
      <c r="BT39" s="57">
        <f t="shared" si="33"/>
        <v>398.29741261928802</v>
      </c>
      <c r="BU39" s="57">
        <f t="shared" si="33"/>
        <v>580.79741261928802</v>
      </c>
      <c r="BV39" s="68">
        <f t="shared" si="33"/>
        <v>1665.797412619288</v>
      </c>
      <c r="BW39" s="1"/>
      <c r="BX39" s="1"/>
      <c r="BY39" s="215">
        <f t="shared" si="33"/>
        <v>2555.797412619288</v>
      </c>
      <c r="BZ39" s="57">
        <f t="shared" si="33"/>
        <v>3223.297412619288</v>
      </c>
      <c r="CA39" s="57">
        <f t="shared" si="33"/>
        <v>3223.297412619288</v>
      </c>
      <c r="CB39" s="57">
        <f t="shared" si="33"/>
        <v>945.79741261928802</v>
      </c>
      <c r="CC39" s="57">
        <f t="shared" si="33"/>
        <v>580.79741261928802</v>
      </c>
      <c r="CD39" s="57">
        <f t="shared" si="33"/>
        <v>215.79741261928802</v>
      </c>
      <c r="CE39" s="74">
        <f t="shared" si="33"/>
        <v>-696.70258738071198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41460</v>
      </c>
      <c r="T40" s="107" t="s">
        <v>148</v>
      </c>
      <c r="U40" s="34"/>
      <c r="V40" s="34"/>
      <c r="W40" s="34"/>
      <c r="X40" s="110">
        <f>SUM(X42:X46)</f>
        <v>12214.285714285714</v>
      </c>
      <c r="Y40" s="110">
        <f>SUM(Y42:Y46)</f>
        <v>12214.285714285714</v>
      </c>
      <c r="Z40" s="237">
        <f>SUM(Z42:Z46)</f>
        <v>12214.285714285714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4196.55</v>
      </c>
      <c r="AH40" s="104">
        <f>IF('Données à saisir'!C136="Oui",'Données à saisir'!H147,'Données à saisir'!C147)</f>
        <v>9862.7939999999999</v>
      </c>
      <c r="AI40" s="120">
        <f>IF('Données à saisir'!C136="Oui",'Données à saisir'!I147,'Données à saisir'!D147)</f>
        <v>11638.096919999998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1573.2974126192858</v>
      </c>
      <c r="BS40" s="65">
        <f>BS38+BS39</f>
        <v>1424.0948252385738</v>
      </c>
      <c r="BT40" s="65">
        <f>BT38+BT39</f>
        <v>1822.3922378578618</v>
      </c>
      <c r="BU40" s="65">
        <f>BU38+BU39</f>
        <v>2403.1896504771498</v>
      </c>
      <c r="BV40" s="66">
        <f t="shared" ref="BV40:CE40" si="34">BV38+BV39</f>
        <v>4068.9870630964379</v>
      </c>
      <c r="BY40" s="197">
        <f t="shared" si="34"/>
        <v>6624.7844757157254</v>
      </c>
      <c r="BZ40" s="65">
        <f t="shared" si="34"/>
        <v>9848.081888335013</v>
      </c>
      <c r="CA40" s="65">
        <f t="shared" si="34"/>
        <v>13071.379300954301</v>
      </c>
      <c r="CB40" s="65">
        <f t="shared" si="34"/>
        <v>14017.176713573588</v>
      </c>
      <c r="CC40" s="65">
        <f t="shared" si="34"/>
        <v>14597.974126192876</v>
      </c>
      <c r="CD40" s="65">
        <f t="shared" si="34"/>
        <v>14813.771538812163</v>
      </c>
      <c r="CE40" s="131">
        <f t="shared" si="34"/>
        <v>14117.068951431451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41460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17690.95</v>
      </c>
      <c r="AH41" s="65">
        <f t="shared" ref="AH41:AI41" si="35">AH35-SUM(AH36:AH40)</f>
        <v>16158.455999999998</v>
      </c>
      <c r="AI41" s="66">
        <f t="shared" si="35"/>
        <v>16466.578079999999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651.02390571139904</v>
      </c>
      <c r="AH42" s="57">
        <f>'Données à saisir'!C90+SUM('Données à saisir'!H70:H72)</f>
        <v>651.02390571139904</v>
      </c>
      <c r="AI42" s="53">
        <f>'Données à saisir'!D90+SUM('Données à saisir'!I70:I72)</f>
        <v>651.02390571139904</v>
      </c>
      <c r="AL42" s="63" t="s">
        <v>160</v>
      </c>
      <c r="AM42" s="64"/>
      <c r="AN42" s="64"/>
      <c r="AO42" s="131">
        <f>AO27</f>
        <v>4588.4975228600306</v>
      </c>
      <c r="AP42" s="136"/>
      <c r="AQ42" s="131">
        <f>AQ27</f>
        <v>3056.0035228600286</v>
      </c>
      <c r="AR42" s="136"/>
      <c r="AS42" s="128">
        <f>AS27</f>
        <v>3364.1256028600296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12451.428571428571</v>
      </c>
      <c r="AH43" s="57">
        <f>'Données à saisir'!D39</f>
        <v>12451.428571428571</v>
      </c>
      <c r="AI43" s="53">
        <f>'Données à saisir'!E39</f>
        <v>12451.428571428571</v>
      </c>
      <c r="AL43" s="122" t="s">
        <v>161</v>
      </c>
      <c r="AM43" s="1"/>
      <c r="AN43" s="1"/>
      <c r="AO43" s="132">
        <f>AO22</f>
        <v>12451.428571428571</v>
      </c>
      <c r="AP43" s="137"/>
      <c r="AQ43" s="132">
        <f>AQ22</f>
        <v>12451.428571428571</v>
      </c>
      <c r="AR43" s="137"/>
      <c r="AS43" s="127">
        <f>AS22</f>
        <v>12451.428571428571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8571.4285714285706</v>
      </c>
      <c r="Y44" s="113">
        <f>'Données à saisir'!D52</f>
        <v>8571.4285714285706</v>
      </c>
      <c r="Z44" s="236">
        <f>'Données à saisir'!E52</f>
        <v>8571.4285714285706</v>
      </c>
      <c r="AC44" s="63" t="s">
        <v>129</v>
      </c>
      <c r="AD44" s="64"/>
      <c r="AE44" s="64"/>
      <c r="AF44" s="64"/>
      <c r="AG44" s="65">
        <f>AG41-AG42-AG43</f>
        <v>4588.4975228600324</v>
      </c>
      <c r="AH44" s="65">
        <f t="shared" ref="AH44:AI44" si="37">AH41-AH42-AH43</f>
        <v>3056.0035228600282</v>
      </c>
      <c r="AI44" s="66">
        <f t="shared" si="37"/>
        <v>3364.1256028600292</v>
      </c>
      <c r="AL44" s="63" t="s">
        <v>158</v>
      </c>
      <c r="AM44" s="64"/>
      <c r="AN44" s="64"/>
      <c r="AO44" s="131">
        <f>AO42+AO43</f>
        <v>17039.926094288603</v>
      </c>
      <c r="AP44" s="136"/>
      <c r="AQ44" s="131">
        <f t="shared" ref="AQ44:AS44" si="38">AQ42+AQ43</f>
        <v>15507.432094288599</v>
      </c>
      <c r="AR44" s="136"/>
      <c r="AS44" s="128">
        <f t="shared" si="38"/>
        <v>15815.5541742886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2857.1428571428573</v>
      </c>
      <c r="Y45" s="113">
        <f>'Données à saisir'!D53</f>
        <v>2857.1428571428573</v>
      </c>
      <c r="Z45" s="236">
        <f>'Données à saisir'!E53</f>
        <v>2857.1428571428573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5922.8571428571431</v>
      </c>
      <c r="AP45" s="137"/>
      <c r="AQ45" s="132">
        <f>SUM('Données à saisir'!K70:K72)</f>
        <v>5922.8571428571431</v>
      </c>
      <c r="AR45" s="137"/>
      <c r="AS45" s="127">
        <f>SUM('Données à saisir'!L70:L72)</f>
        <v>5922.8571428571431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285.71428571428572</v>
      </c>
      <c r="Y46" s="113">
        <f>'Données à saisir'!D54</f>
        <v>285.71428571428572</v>
      </c>
      <c r="Z46" s="236">
        <f>'Données à saisir'!E54</f>
        <v>285.71428571428572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11117.06895143146</v>
      </c>
      <c r="AP46" s="138"/>
      <c r="AQ46" s="133">
        <f>AQ44-AQ45</f>
        <v>9584.5749514314557</v>
      </c>
      <c r="AR46" s="138"/>
      <c r="AS46" s="129">
        <f>AS44-AS45</f>
        <v>9892.6970314314567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44988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4588.4975228600324</v>
      </c>
      <c r="AH47" s="65">
        <f t="shared" ref="AH47:AI47" si="39">AH44-SUM(AH45)</f>
        <v>3056.0035228600282</v>
      </c>
      <c r="AI47" s="66">
        <f t="shared" si="39"/>
        <v>3364.1256028600292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91460</v>
      </c>
      <c r="T48" s="109" t="s">
        <v>149</v>
      </c>
      <c r="U48" s="108"/>
      <c r="V48" s="108"/>
      <c r="W48" s="108"/>
      <c r="X48" s="112">
        <f>SUM(X31,X40)</f>
        <v>12451.428571428571</v>
      </c>
      <c r="Y48" s="112">
        <f>SUM(Y31,Y40)</f>
        <v>12451.428571428571</v>
      </c>
      <c r="Z48" s="118">
        <f>SUM(Z31,Z40)</f>
        <v>12451.428571428571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17785.04752286003</v>
      </c>
      <c r="AH52" s="90">
        <f>AH35-SUM(AH36:AH38,AH42:AH43)</f>
        <v>22918.79752286003</v>
      </c>
      <c r="AI52" s="90">
        <f>AI35-SUM(AI36:AI38,AI42:AI43)</f>
        <v>30002.222522860025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295</v>
      </c>
    </row>
    <row r="13" spans="1:9" ht="11.95" customHeight="1" x14ac:dyDescent="0.25"/>
    <row r="14" spans="1:9" ht="13.5" customHeight="1" x14ac:dyDescent="0.3">
      <c r="B14" s="269" t="s">
        <v>297</v>
      </c>
    </row>
    <row r="15" spans="1:9" ht="16.45" customHeight="1" x14ac:dyDescent="0.25">
      <c r="C15" s="341" t="s">
        <v>296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2023-03-03T11:35:17Z</dcterms:modified>
</cp:coreProperties>
</file>