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1D16B4A8-491B-48DF-A4C9-88ED50866A0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42" i="1" l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<sst xmlns="http://schemas.openxmlformats.org/spreadsheetml/2006/main" count="453" uniqueCount="304">
  <si>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</si>
  <si>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</si>
  <si>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</si>
  <si>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</si>
  <si>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</si>
  <si>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</si>
  <si>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</si>
  <si>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</si>
  <si>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</si>
  <si>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</si>
  <si>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</si>
  <si>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</si>
  <si>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</si>
  <si>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</si>
  <si>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</si>
  <si>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</si>
  <si>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</si>
  <si>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</si>
  <si>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</si>
  <si>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</si>
  <si>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</si>
  <si>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</si>
  <si>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</si>
  <si>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</si>
  <si>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</si>
  <si>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</si>
  <si>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</si>
  <si>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</si>
  <si>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</si>
  <si>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</si>
  <si>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</si>
  <si>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</si>
  <si>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</si>
  <si>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</si>
  <si>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</si>
  <si>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</si>
  <si>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</si>
  <si>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</si>
  <si>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</si>
  <si>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</si>
  <si>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</si>
  <si>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</si>
  <si>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</si>
  <si>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</si>
  <si>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</si>
  <si>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</si>
  <si>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</si>
  <si>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</si>
  <si>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</si>
  <si>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</si>
  <si>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</si>
  <si>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</si>
  <si>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</si>
  <si>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</si>
  <si>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</si>
  <si>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</si>
  <si>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</si>
  <si>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</si>
  <si>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</si>
  <si>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</si>
  <si>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</si>
  <si>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</si>
  <si>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</si>
  <si>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</si>
  <si>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</si>
  <si>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</si>
  <si>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</si>
  <si>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</si>
  <si>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</si>
  <si>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</si>
  <si>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</si>
  <si>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</si>
  <si>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</si>
  <si>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</si>
  <si>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</si>
  <si>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</si>
  <si>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</si>
  <si>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</si>
  <si>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</si>
  <si>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</si>
  <si>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</si>
  <si>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</si>
  <si>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</si>
  <si>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</si>
  <si>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</si>
  <si>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</si>
  <si>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</si>
  <si>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</si>
  <si>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</si>
  <si>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</si>
  <si>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</si>
  <si>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</si>
  <si>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</si>
  <si>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</si>
  <si>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</si>
  <si>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</si>
  <si>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</si>
  <si>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</si>
  <si>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</si>
  <si>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</si>
  <si>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</si>
  <si>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</si>
  <si>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</si>
  <si>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</si>
  <si>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</si>
  <si>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</si>
  <si>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</si>
  <si>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</si>
  <si>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</si>
  <si>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</si>
  <si>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</si>
  <si>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</si>
  <si>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</si>
  <si>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</si>
  <si>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</si>
  <si>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</si>
  <si>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</si>
  <si>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</si>
  <si>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</si>
  <si>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</si>
  <si>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</si>
  <si>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</si>
  <si>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</si>
  <si>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</si>
  <si>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</si>
  <si>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</si>
  <si>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</si>
  <si>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</si>
  <si>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</si>
  <si>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</si>
  <si>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</si>
  <si>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</si>
  <si>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</si>
  <si>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</si>
  <si>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</si>
  <si>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</si>
  <si>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</si>
  <si>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</si>
  <si>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</si>
  <si>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</si>
  <si>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</si>
  <si>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</si>
  <si>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</si>
  <si>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</si>
  <si>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</si>
  <si>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</si>
  <si>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</si>
  <si>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</si>
  <si>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</si>
  <si>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</si>
  <si>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</si>
  <si>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</si>
  <si>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</si>
  <si>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</si>
  <si>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</si>
  <si>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</si>
  <si>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</si>
  <si>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</si>
  <si>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</si>
  <si>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</si>
  <si>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</si>
  <si>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</si>
  <si>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</si>
  <si>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</si>
  <si>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</si>
  <si>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</si>
  <si>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</si>
  <si>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</si>
  <si>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</si>
  <si>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</si>
  <si>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</si>
  <si>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</si>
  <si>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</si>
  <si>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</si>
  <si>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</si>
  <si>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</si>
  <si>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</si>
  <si>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</si>
  <si>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</si>
  <si>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</si>
  <si>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</si>
  <si>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</si>
  <si>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</si>
  <si>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</si>
  <si>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</si>
  <si>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</si>
  <si>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</si>
  <si>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</si>
  <si>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</si>
  <si>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</si>
  <si>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</si>
  <si>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</si>
  <si>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</si>
  <si>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</si>
  <si>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</si>
  <si>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</si>
  <si>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</si>
  <si>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</si>
  <si>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</si>
  <si>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</si>
  <si>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</si>
  <si>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</si>
  <si>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</si>
  <si>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</si>
  <si>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</si>
  <si>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</si>
  <si>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</si>
  <si>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</si>
  <si>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</si>
  <si>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</si>
  <si>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</si>
  <si>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</si>
  <si>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</si>
  <si>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</si>
  <si>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</si>
  <si>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</si>
  <si>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</si>
  <si>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</si>
  <si>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</si>
  <si>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</si>
  <si>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</si>
  <si>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</si>
  <si>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</si>
  <si>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</si>
  <si>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</si>
  <si>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</si>
  <si>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</si>
  <si>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</si>
  <si>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</si>
  <si>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</si>
  <si>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</si>
  <si>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</si>
  <si>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</si>
  <si>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</si>
  <si>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</si>
  <si>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</si>
  <si>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</si>
  <si>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</si>
  <si>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</si>
  <si>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</si>
  <si>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</si>
  <si>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</si>
  <si>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</si>
  <si>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</si>
  <si>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</si>
  <si>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</si>
  <si>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</si>
  <si>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</si>
  <si>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</si>
  <si>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</si>
  <si>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</si>
  <si>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</si>
  <si>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</si>
  <si>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</si>
  <si>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</si>
  <si>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</si>
  <si>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</si>
  <si>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</si>
  <si>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</si>
  <si>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</si>
  <si>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</si>
  <si>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</si>
  <si>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</si>
  <si>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</si>
  <si>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</si>
  <si>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</si>
  <si>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</si>
  <si>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</si>
  <si>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</si>
  <si>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</si>
  <si>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</si>
  <si>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</si>
  <si>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</si>
  <si>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</si>
  <si>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</si>
  <si>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</si>
  <si>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</si>
  <si>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</si>
  <si>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</si>
  <si>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</si>
  <si>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</si>
  <si>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</si>
  <si>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</si>
  <si>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</si>
  <si>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</si>
  <si>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</si>
  <si>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</si>
  <si>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</si>
  <si>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</si>
  <si>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</si>
  <si>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</si>
  <si>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</si>
  <si>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</si>
  <si>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</si>
  <si>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</si>
  <si>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</si>
  <si>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</si>
  <si>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</si>
  <si>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</si>
  <si>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</si>
  <si>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</si>
  <si>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</si>
  <si>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</si>
  <si>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Salon de thé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</si>
</sst>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8000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123100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23100</v>
      </c>
      <c r="C39" s="116">
        <f t="shared" ref="C39:C54" si="0">IF(ISERROR($B39/$C$36),0,$B39/$C$36)</f>
        <v>4620</v>
      </c>
      <c r="D39" s="116">
        <f>IF($B39&gt;(SUM(C39:$C39)),IF(ISERROR($B39/$C$36),"",$B39/$C$36),0)</f>
        <v>4620</v>
      </c>
      <c r="E39" s="116">
        <f>IF($B39&gt;(SUM($C39:D39)),IF(ISERROR($B39/$C$36),"",$B39/$C$36),0)</f>
        <v>4620</v>
      </c>
      <c r="F39" s="116">
        <f>IF($B39&gt;(SUM($C39:E39)),IF(ISERROR($B39/$C$36),"",$B39/$C$36),0)</f>
        <v>4620</v>
      </c>
      <c r="G39" s="116">
        <f>IF($B39&gt;(SUM($C39:F39)),IF(ISERROR($B39/$C$36),"",$B39/$C$36),0)</f>
        <v>4620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23100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63100</v>
      </c>
      <c r="C61" s="257">
        <v>0.03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123100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833.75923413063799</v>
      </c>
      <c r="C70" s="79">
        <f>B70*D61</f>
        <v>70035.775666973597</v>
      </c>
      <c r="D70" s="82">
        <f>IF(ISERROR(B61/D61),0,B61/D61)</f>
        <v>751.19047619047615</v>
      </c>
      <c r="E70" s="152">
        <f>B70-D70</f>
        <v>82.568757940161845</v>
      </c>
      <c r="F70" s="80">
        <f>E70*D61</f>
        <v>6935.7756669735954</v>
      </c>
      <c r="G70" s="153">
        <f>IF($D61&gt;12,$E70*12,$E70*$D61)</f>
        <v>990.82509528194214</v>
      </c>
      <c r="H70" s="153">
        <f>IF($D61-12&lt;0,0,IF($D61&gt;24,$E70*12,($D61-12)*$E70))</f>
        <v>990.82509528194214</v>
      </c>
      <c r="I70" s="153">
        <f>IF($D61-24&lt;0,0,IF($D61&gt;36,$E70*12,($D61-24)*$E70))</f>
        <v>990.82509528194214</v>
      </c>
      <c r="J70" s="153">
        <f>IF($D61&gt;12,$D70*12,$D70*$D61)</f>
        <v>9014.2857142857138</v>
      </c>
      <c r="K70" s="153">
        <f>IF($D61-12&lt;0,0,IF($D61&gt;24,$D70*12,($D61-12)*$D70))</f>
        <v>9014.2857142857138</v>
      </c>
      <c r="L70" s="153">
        <f>IF($D61-24&lt;0,0,IF($D61&gt;36,$D70*12,($D61-24)*$D70))</f>
        <v>9014.2857142857138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990.82509528194214</v>
      </c>
      <c r="J73" s="203">
        <f t="shared" si="17"/>
        <v>9014.2857142857138</v>
      </c>
      <c r="K73" s="203">
        <f t="shared" si="17"/>
        <v>9014.2857142857138</v>
      </c>
      <c r="L73" s="203">
        <f t="shared" si="17"/>
        <v>9014.2857142857138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800</v>
      </c>
      <c r="C78" s="260">
        <v>850</v>
      </c>
      <c r="D78" s="261">
        <v>880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3800</v>
      </c>
      <c r="C82" s="260">
        <v>3900</v>
      </c>
      <c r="D82" s="261">
        <v>4000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800</v>
      </c>
      <c r="D86" s="261">
        <v>850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20000</v>
      </c>
      <c r="C88" s="260">
        <v>21000</v>
      </c>
      <c r="D88" s="261">
        <v>22000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1200</v>
      </c>
      <c r="D91" s="261">
        <v>1250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320</v>
      </c>
      <c r="C93" s="260">
        <v>340</v>
      </c>
      <c r="D93" s="261">
        <v>340</v>
      </c>
      <c r="E93" s="89" t="s">
        <v>288</v>
      </c>
    </row>
    <row r="94" spans="1:8" x14ac:dyDescent="0.25">
      <c r="A94" s="278" t="s">
        <v>302</v>
      </c>
      <c r="B94" s="259">
        <v>1200</v>
      </c>
      <c r="C94" s="260">
        <v>1300</v>
      </c>
      <c r="D94" s="261">
        <v>1400</v>
      </c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40070</v>
      </c>
      <c r="C97" s="10">
        <f>SUM(C77:C95)</f>
        <v>41210</v>
      </c>
      <c r="D97" s="10">
        <f>SUM(D77:D95)</f>
        <v>43310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500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550</v>
      </c>
      <c r="D104" s="12">
        <f t="shared" ref="D104:D114" si="18">B104*C104</f>
        <v>11000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550</v>
      </c>
      <c r="D105" s="12">
        <f t="shared" si="18"/>
        <v>11000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600</v>
      </c>
      <c r="D106" s="12">
        <f t="shared" si="18"/>
        <v>12000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600</v>
      </c>
      <c r="D107" s="12">
        <f t="shared" si="18"/>
        <v>12000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620</v>
      </c>
      <c r="D108" s="12">
        <f t="shared" si="18"/>
        <v>6200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620</v>
      </c>
      <c r="D109" s="12">
        <f t="shared" si="18"/>
        <v>12400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620</v>
      </c>
      <c r="D110" s="12">
        <f t="shared" si="18"/>
        <v>12400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640</v>
      </c>
      <c r="D111" s="12">
        <f t="shared" si="18"/>
        <v>12800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660</v>
      </c>
      <c r="D112" s="12">
        <f t="shared" si="18"/>
        <v>13200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680</v>
      </c>
      <c r="D113" s="12">
        <f t="shared" si="18"/>
        <v>13600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700</v>
      </c>
      <c r="D114" s="12">
        <f t="shared" si="18"/>
        <v>7000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133600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f>700*12</f>
        <v>8400</v>
      </c>
      <c r="C133" s="260">
        <v>8600</v>
      </c>
      <c r="D133" s="261">
        <v>8800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20000</v>
      </c>
      <c r="C134" s="260">
        <v>25000</v>
      </c>
      <c r="D134" s="261">
        <v>30000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6048</v>
      </c>
      <c r="C139" s="73">
        <f>C133*0.72</f>
        <v>6192</v>
      </c>
      <c r="D139" s="73">
        <f>D133*0.72</f>
        <v>6336</v>
      </c>
      <c r="F139" t="s">
        <v>90</v>
      </c>
      <c r="G139" s="245">
        <f>B133*0.72</f>
        <v>6048</v>
      </c>
      <c r="H139" s="246">
        <f>C133*0.72</f>
        <v>6192</v>
      </c>
      <c r="I139" s="73">
        <f>D133*0.72</f>
        <v>6336</v>
      </c>
    </row>
    <row r="140" spans="1:9" ht="15.1" hidden="1" customHeight="1" x14ac:dyDescent="0.25">
      <c r="A140" t="s">
        <v>1</v>
      </c>
      <c r="B140" s="71">
        <f>+'Plan financier à imprimer'!AG11*12.6%</f>
        <v>16833.599999999999</v>
      </c>
      <c r="C140" s="71">
        <f>+'Plan financier à imprimer'!AH11*12.6%</f>
        <v>19358.64</v>
      </c>
      <c r="D140" s="71">
        <f>+'Plan financier à imprimer'!AI11*12.6%</f>
        <v>22262.436000000002</v>
      </c>
      <c r="E140" s="93" t="s">
        <v>132</v>
      </c>
      <c r="F140" t="s">
        <v>1</v>
      </c>
      <c r="G140" s="245">
        <f>+'Plan financier à imprimer'!AG11*6.3%</f>
        <v>8416.7999999999993</v>
      </c>
      <c r="H140" s="247">
        <f>+'Plan financier à imprimer'!AH11*12.6%</f>
        <v>19358.64</v>
      </c>
      <c r="I140" s="71">
        <f>+'Plan financier à imprimer'!AI11*12.6%</f>
        <v>22262.436000000002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12021.352471415417</v>
      </c>
      <c r="C142" s="71">
        <f>IF('Plan financier à imprimer'!AH52*30%&lt;3456,3456,'Plan financier à imprimer'!AH52*30%)</f>
        <v>16085.152471415417</v>
      </c>
      <c r="D142" s="71">
        <f>IF('Plan financier à imprimer'!AI52*30%&lt;3456,3456,'Plan financier à imprimer'!AI52*30%)</f>
        <v>20537.30247141542</v>
      </c>
      <c r="F142" t="s">
        <v>110</v>
      </c>
      <c r="G142" s="245">
        <v>1305</v>
      </c>
      <c r="H142" s="248">
        <f>IF('Plan financier à imprimer'!AH52*32%&lt;3456,3456,'Plan financier à imprimer'!AH52*32%)</f>
        <v>17157.495969509779</v>
      </c>
      <c r="I142" s="72">
        <f>IF('Plan financier à imprimer'!AI52*32%&lt;3456,3456,'Plan financier à imprimer'!AI52*32%)</f>
        <v>21906.455969509781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13500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13500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13500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13500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21000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21000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21000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21000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21000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21000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Salon de thé</v>
      </c>
      <c r="T6" s="1" t="s">
        <v>68</v>
      </c>
      <c r="V6" s="3" t="str">
        <f>IF(ISBLANK('Données à saisir'!$B7),"",('Données à saisir'!$B7))</f>
        <v>Salon de thé</v>
      </c>
      <c r="AC6" s="1" t="s">
        <v>68</v>
      </c>
      <c r="AE6" s="3" t="str">
        <f>IF(ISBLANK('Données à saisir'!$B7),"",('Données à saisir'!$B7))</f>
        <v>Salon de thé</v>
      </c>
      <c r="AL6" s="1" t="s">
        <v>68</v>
      </c>
      <c r="AN6" s="3" t="str">
        <f>IF(ISBLANK('Données à saisir'!$B7),"",('Données à saisir'!$B7))</f>
        <v>Salon de thé</v>
      </c>
      <c r="AW6" s="1" t="s">
        <v>68</v>
      </c>
      <c r="AY6" s="3" t="str">
        <f>IF(ISBLANK('Données à saisir'!$B7),"",('Données à saisir'!$B7))</f>
        <v>Salon de thé</v>
      </c>
      <c r="BF6" s="1" t="s">
        <v>68</v>
      </c>
      <c r="BH6" s="3" t="str">
        <f>IF(ISBLANK('Données à saisir'!$B7),"",('Données à saisir'!$B7))</f>
        <v>Salon de thé</v>
      </c>
      <c r="BO6" s="1" t="s">
        <v>68</v>
      </c>
      <c r="BQ6" s="3" t="str">
        <f>IF(ISBLANK('Données à saisir'!$B7),"",('Données à saisir'!$B7))</f>
        <v>Salon de thé</v>
      </c>
      <c r="BV6" s="193" t="s">
        <v>216</v>
      </c>
      <c r="BY6" s="1" t="s">
        <v>68</v>
      </c>
      <c r="CA6" s="3" t="str">
        <f>IF(ISBLANK('Données à saisir'!$B7),"",('Données à saisir'!$B7))</f>
        <v>Salon de thé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133600</v>
      </c>
      <c r="AH10" s="60">
        <f t="shared" ref="AH10:AI10" si="0">SUM(AH11:AH12)</f>
        <v>153640</v>
      </c>
      <c r="AI10" s="226">
        <f t="shared" si="0"/>
        <v>176686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133600</v>
      </c>
      <c r="AH11" s="62">
        <f>AG11+AG11*'Données à saisir'!D117</f>
        <v>153640</v>
      </c>
      <c r="AI11" s="54">
        <f>AH11+AH11*'Données à saisir'!D118</f>
        <v>176686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133600</v>
      </c>
      <c r="BB11" s="60">
        <f>AH10</f>
        <v>153640</v>
      </c>
      <c r="BC11" s="226">
        <f>AI10</f>
        <v>176686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84600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33400</v>
      </c>
      <c r="BB12" s="104">
        <f>AQ15</f>
        <v>38410</v>
      </c>
      <c r="BC12" s="120">
        <f>AS15</f>
        <v>44171.5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33400</v>
      </c>
      <c r="AH13" s="57">
        <f>AH14</f>
        <v>38410</v>
      </c>
      <c r="AI13" s="53">
        <f>AI14</f>
        <v>44171.5</v>
      </c>
      <c r="AL13" s="107" t="s">
        <v>153</v>
      </c>
      <c r="AM13" s="34"/>
      <c r="AN13" s="34"/>
      <c r="AO13" s="119">
        <f>AG10</f>
        <v>133600</v>
      </c>
      <c r="AP13" s="139">
        <v>1</v>
      </c>
      <c r="AQ13" s="119">
        <f>AH10</f>
        <v>153640</v>
      </c>
      <c r="AR13" s="140">
        <v>1</v>
      </c>
      <c r="AS13" s="119">
        <f>AI10</f>
        <v>176686</v>
      </c>
      <c r="AT13" s="141">
        <v>1</v>
      </c>
      <c r="AW13" s="123" t="s">
        <v>177</v>
      </c>
      <c r="BA13" s="104">
        <f>BA12</f>
        <v>33400</v>
      </c>
      <c r="BB13" s="104">
        <f t="shared" ref="BB13:BC13" si="1">BB12</f>
        <v>38410</v>
      </c>
      <c r="BC13" s="120">
        <f t="shared" si="1"/>
        <v>44171.5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33400</v>
      </c>
      <c r="AH14" s="62">
        <f>'Données à saisir'!$D$123*'Plan financier à imprimer'!AH11</f>
        <v>38410</v>
      </c>
      <c r="AI14" s="54">
        <f>'Données à saisir'!$D$123*'Plan financier à imprimer'!AI11</f>
        <v>44171.5</v>
      </c>
      <c r="AL14" s="38" t="s">
        <v>154</v>
      </c>
      <c r="AO14" s="104">
        <f>AG10</f>
        <v>133600</v>
      </c>
      <c r="AP14" s="142">
        <v>1</v>
      </c>
      <c r="AQ14" s="104">
        <f>AH10</f>
        <v>153640</v>
      </c>
      <c r="AR14" s="143">
        <v>1</v>
      </c>
      <c r="AS14" s="104">
        <f>AI10</f>
        <v>176686</v>
      </c>
      <c r="AT14" s="144">
        <v>1</v>
      </c>
      <c r="AW14" s="123" t="s">
        <v>178</v>
      </c>
      <c r="BA14" s="57">
        <f>BA11-BA13</f>
        <v>100200</v>
      </c>
      <c r="BB14" s="57">
        <f t="shared" ref="BB14:BC14" si="2">BB11-BB13</f>
        <v>115230</v>
      </c>
      <c r="BC14" s="53">
        <f t="shared" si="2"/>
        <v>132514.5</v>
      </c>
      <c r="BF14" s="186" t="s">
        <v>201</v>
      </c>
      <c r="BG14" s="52"/>
      <c r="BH14" s="52"/>
      <c r="BI14" s="52"/>
      <c r="BJ14" s="187">
        <f>Q12+Q23</f>
        <v>105100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30000</v>
      </c>
      <c r="AC15" s="67"/>
      <c r="AG15" s="62"/>
      <c r="AH15" s="62"/>
      <c r="AI15" s="69"/>
      <c r="AL15" s="70" t="s">
        <v>80</v>
      </c>
      <c r="AO15" s="104">
        <f>AG14</f>
        <v>33400</v>
      </c>
      <c r="AP15" s="145">
        <f>AO15/$AO$14</f>
        <v>0.25</v>
      </c>
      <c r="AQ15" s="104">
        <f>AH14</f>
        <v>38410</v>
      </c>
      <c r="AR15" s="145">
        <f>AQ15/$AQ$14</f>
        <v>0.25</v>
      </c>
      <c r="AS15" s="104">
        <f>AI14</f>
        <v>44171.5</v>
      </c>
      <c r="AT15" s="146">
        <f>AS15/$AS$14</f>
        <v>0.25</v>
      </c>
      <c r="AW15" s="63" t="s">
        <v>195</v>
      </c>
      <c r="AX15" s="64"/>
      <c r="AY15" s="64"/>
      <c r="AZ15" s="64"/>
      <c r="BA15" s="154">
        <f>IF(ISERROR(BA14/BA11),0,BA14/BA11)</f>
        <v>0.75</v>
      </c>
      <c r="BB15" s="154">
        <f t="shared" ref="BB15:BC15" si="3">IF(ISERROR(BB14/BB11),0,BB14/BB11)</f>
        <v>0.75</v>
      </c>
      <c r="BC15" s="158">
        <f t="shared" si="3"/>
        <v>0.75</v>
      </c>
      <c r="BF15" s="123" t="s">
        <v>266</v>
      </c>
      <c r="BJ15" s="104">
        <f>Q30</f>
        <v>8000</v>
      </c>
      <c r="BK15" s="104"/>
      <c r="BL15" s="120"/>
      <c r="BO15" s="192" t="s">
        <v>202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0.25</v>
      </c>
      <c r="Z16" s="103">
        <f>IF(ISERROR((Z15-Y15)/Y15),"",(Z15-Y15)/Y15)</f>
        <v>0.2</v>
      </c>
      <c r="AC16" s="63" t="s">
        <v>127</v>
      </c>
      <c r="AD16" s="64"/>
      <c r="AE16" s="64"/>
      <c r="AF16" s="64"/>
      <c r="AG16" s="65">
        <f>AG10-AG13</f>
        <v>100200</v>
      </c>
      <c r="AH16" s="65">
        <f>AH10-AH13</f>
        <v>115230</v>
      </c>
      <c r="AI16" s="66">
        <f>AI10-AI13</f>
        <v>132514.5</v>
      </c>
      <c r="AL16" s="63" t="s">
        <v>156</v>
      </c>
      <c r="AM16" s="64"/>
      <c r="AN16" s="64"/>
      <c r="AO16" s="65">
        <f>AO14-AO15</f>
        <v>100200</v>
      </c>
      <c r="AP16" s="147">
        <f t="shared" ref="AP16:AP28" si="5">AO16/$AO$14</f>
        <v>0.75</v>
      </c>
      <c r="AQ16" s="65">
        <f t="shared" ref="AQ16:AS16" si="6">AQ14-AQ15</f>
        <v>115230</v>
      </c>
      <c r="AR16" s="148">
        <f t="shared" ref="AR16:AR28" si="7">AQ16/$AQ$14</f>
        <v>0.75</v>
      </c>
      <c r="AS16" s="65">
        <f t="shared" si="6"/>
        <v>132514.5</v>
      </c>
      <c r="AT16" s="150">
        <f t="shared" ref="AT16:AT28" si="8">AS16/$AS$14</f>
        <v>0.75</v>
      </c>
      <c r="AW16" s="123" t="s">
        <v>179</v>
      </c>
      <c r="BA16" s="104">
        <f>SUM(AO17,AO19,AO20,AO22,AO24)</f>
        <v>86728.825095281936</v>
      </c>
      <c r="BB16" s="104">
        <f>SUM(AQ17,AQ19,AQ20,AQ22,AQ24)</f>
        <v>104112.82509528194</v>
      </c>
      <c r="BC16" s="159">
        <f>SUM(AS17,AS19,AS20,AS22,AS24)</f>
        <v>115056.82509528194</v>
      </c>
      <c r="BF16" s="123" t="s">
        <v>199</v>
      </c>
      <c r="BJ16" s="104">
        <f>BA39</f>
        <v>-915.06849315068496</v>
      </c>
      <c r="BK16" s="104">
        <f>BB39-BA39</f>
        <v>-137.2602739726027</v>
      </c>
      <c r="BL16" s="120">
        <f>+BC39-BB39</f>
        <v>-157.84931506849307</v>
      </c>
      <c r="BO16" s="123" t="s">
        <v>203</v>
      </c>
      <c r="BR16" s="104">
        <f>BJ20</f>
        <v>63100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63100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6600</v>
      </c>
      <c r="Y17" s="57">
        <f>AH40</f>
        <v>17500</v>
      </c>
      <c r="Z17" s="53">
        <f>AI40</f>
        <v>21000</v>
      </c>
      <c r="AC17" s="37" t="s">
        <v>128</v>
      </c>
      <c r="AG17" s="57">
        <f>SUM(AG18:AG33)</f>
        <v>39070</v>
      </c>
      <c r="AH17" s="57">
        <f>SUM(AH18:AH33)</f>
        <v>38910</v>
      </c>
      <c r="AI17" s="68">
        <f>SUM(AI18:AI33)</f>
        <v>40860</v>
      </c>
      <c r="AL17" s="70" t="s">
        <v>81</v>
      </c>
      <c r="AO17" s="104">
        <f>AG17</f>
        <v>39070</v>
      </c>
      <c r="AP17" s="145">
        <f t="shared" si="5"/>
        <v>0.29244011976047907</v>
      </c>
      <c r="AQ17" s="104">
        <f>AH17</f>
        <v>38910</v>
      </c>
      <c r="AR17" s="149">
        <f t="shared" si="7"/>
        <v>0.25325436084353031</v>
      </c>
      <c r="AS17" s="104">
        <f>AI17</f>
        <v>40860</v>
      </c>
      <c r="AT17" s="146">
        <f t="shared" si="8"/>
        <v>0.23125771142025967</v>
      </c>
      <c r="AW17" s="63" t="s">
        <v>196</v>
      </c>
      <c r="AX17" s="64"/>
      <c r="AY17" s="64"/>
      <c r="AZ17" s="64"/>
      <c r="BA17" s="65">
        <f>BA12+BA16</f>
        <v>120128.82509528194</v>
      </c>
      <c r="BB17" s="65">
        <f t="shared" ref="BB17:BC17" si="9">BB12+BB16</f>
        <v>142522.82509528194</v>
      </c>
      <c r="BC17" s="66">
        <f t="shared" si="9"/>
        <v>159228.32509528194</v>
      </c>
      <c r="BF17" s="123" t="s">
        <v>200</v>
      </c>
      <c r="BJ17" s="104">
        <f>AO45</f>
        <v>9014.2857142857138</v>
      </c>
      <c r="BK17" s="104">
        <f>AQ45</f>
        <v>9014.2857142857138</v>
      </c>
      <c r="BL17" s="120">
        <f>AS45</f>
        <v>9014.2857142857138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80000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61130</v>
      </c>
      <c r="AP18" s="147">
        <f t="shared" si="5"/>
        <v>0.45755988023952093</v>
      </c>
      <c r="AQ18" s="65">
        <f t="shared" ref="AQ18:AS18" si="10">AQ16-AQ17</f>
        <v>76320</v>
      </c>
      <c r="AR18" s="148">
        <f t="shared" si="7"/>
        <v>0.49674563915646969</v>
      </c>
      <c r="AS18" s="65">
        <f t="shared" si="10"/>
        <v>91654.5</v>
      </c>
      <c r="AT18" s="150">
        <f t="shared" si="8"/>
        <v>0.51874228857974036</v>
      </c>
      <c r="AW18" s="123" t="s">
        <v>180</v>
      </c>
      <c r="BA18" s="104">
        <f>AG44</f>
        <v>13471.174904718056</v>
      </c>
      <c r="BB18" s="104">
        <f>AH44</f>
        <v>11117.174904718058</v>
      </c>
      <c r="BC18" s="159">
        <f>AI44</f>
        <v>17457.674904718056</v>
      </c>
      <c r="BF18" s="63" t="s">
        <v>198</v>
      </c>
      <c r="BG18" s="64"/>
      <c r="BH18" s="64"/>
      <c r="BI18" s="64"/>
      <c r="BJ18" s="188">
        <f>SUM(BJ14:BJ17)</f>
        <v>121199.21722113503</v>
      </c>
      <c r="BK18" s="189">
        <f>SUM(BK14:BK17)</f>
        <v>8877.0254403131112</v>
      </c>
      <c r="BL18" s="190">
        <f>SUM(BL14:BL17)</f>
        <v>8856.4363992172202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8400</v>
      </c>
      <c r="Y19" s="60">
        <f>'Données à saisir'!C133</f>
        <v>8600</v>
      </c>
      <c r="Z19" s="61">
        <f>'Données à saisir'!D133</f>
        <v>8800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850</v>
      </c>
      <c r="AI19" s="54">
        <f>IF(ISBLANK('Données à saisir'!D78),0,'Données à saisir'!D78)</f>
        <v>880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1200</v>
      </c>
      <c r="AR19" s="149">
        <f t="shared" si="7"/>
        <v>7.8104660244727939E-3</v>
      </c>
      <c r="AS19" s="104">
        <f>AI36</f>
        <v>1250</v>
      </c>
      <c r="AT19" s="146">
        <f t="shared" si="8"/>
        <v>7.0746974859355015E-3</v>
      </c>
      <c r="AW19" s="63" t="s">
        <v>197</v>
      </c>
      <c r="AX19" s="64"/>
      <c r="AY19" s="64"/>
      <c r="AZ19" s="64"/>
      <c r="BA19" s="65">
        <f>IF(ISERROR(BA16/BA15),0,BA16/BA15)</f>
        <v>115638.43346037592</v>
      </c>
      <c r="BB19" s="65">
        <f t="shared" ref="BB19:BC19" si="11">IF(ISERROR(BB16/BB15),0,BB16/BB15)</f>
        <v>138817.10012704259</v>
      </c>
      <c r="BC19" s="66">
        <f t="shared" si="11"/>
        <v>153409.10012704259</v>
      </c>
      <c r="BF19" s="123" t="s">
        <v>202</v>
      </c>
      <c r="BJ19" s="104">
        <f>Q37</f>
        <v>60000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11000</v>
      </c>
      <c r="BT19" s="119">
        <f>'Données à saisir'!D105</f>
        <v>11000</v>
      </c>
      <c r="BU19" s="119">
        <f>'Données à saisir'!D106</f>
        <v>12000</v>
      </c>
      <c r="BV19" s="209">
        <f>'Données à saisir'!D107</f>
        <v>12000</v>
      </c>
      <c r="BY19" s="210">
        <f>'Données à saisir'!D108</f>
        <v>6200</v>
      </c>
      <c r="BZ19" s="119">
        <f>'Données à saisir'!D109</f>
        <v>12400</v>
      </c>
      <c r="CA19" s="119">
        <f>'Données à saisir'!D110</f>
        <v>12400</v>
      </c>
      <c r="CB19" s="119">
        <f>'Données à saisir'!D111</f>
        <v>12800</v>
      </c>
      <c r="CC19" s="119">
        <f>'Données à saisir'!D112</f>
        <v>13200</v>
      </c>
      <c r="CD19" s="119">
        <f>'Données à saisir'!D113</f>
        <v>13600</v>
      </c>
      <c r="CE19" s="211">
        <f>'Données à saisir'!D114</f>
        <v>7000</v>
      </c>
      <c r="CF19" s="213">
        <f>SUM(BR19:CE19)</f>
        <v>133600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>
        <f>IF(ISERROR((Y19-X19)/X19),"",(Y19-X19)/X19)</f>
        <v>2.3809523809523808E-2</v>
      </c>
      <c r="Z20" s="103">
        <f>IF(ISERROR((Z19-Y19)/Y19),"",(Z19-Y19)/Y19)</f>
        <v>2.3255813953488372E-2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41048</v>
      </c>
      <c r="AP20" s="145">
        <f t="shared" si="5"/>
        <v>0.30724550898203595</v>
      </c>
      <c r="AQ20" s="104">
        <f>SUM(AH37:AH40)</f>
        <v>57292</v>
      </c>
      <c r="AR20" s="149">
        <f t="shared" si="7"/>
        <v>0.37289768289507941</v>
      </c>
      <c r="AS20" s="104">
        <f>SUM(AI37:AI40)</f>
        <v>66136</v>
      </c>
      <c r="AT20" s="146">
        <f t="shared" si="8"/>
        <v>0.37431375434386427</v>
      </c>
      <c r="AW20" s="123" t="s">
        <v>181</v>
      </c>
      <c r="BA20" s="104">
        <f>BA11-BA19</f>
        <v>17961.56653962408</v>
      </c>
      <c r="BB20" s="104">
        <f t="shared" ref="BB20:BC20" si="12">BB11-BB19</f>
        <v>14822.899872957409</v>
      </c>
      <c r="BC20" s="120">
        <f t="shared" si="12"/>
        <v>23276.899872957409</v>
      </c>
      <c r="BF20" s="123" t="s">
        <v>203</v>
      </c>
      <c r="BJ20" s="104">
        <f>Q40</f>
        <v>63100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6048</v>
      </c>
      <c r="Y21" s="57">
        <f>'Données à saisir'!C139</f>
        <v>6192</v>
      </c>
      <c r="Z21" s="53">
        <f>'Données à saisir'!D139</f>
        <v>6336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130</v>
      </c>
      <c r="AM21" s="64"/>
      <c r="AN21" s="64"/>
      <c r="AO21" s="65">
        <f>AO18-AO19-AO20</f>
        <v>20082</v>
      </c>
      <c r="AP21" s="147">
        <f t="shared" si="5"/>
        <v>0.15031437125748504</v>
      </c>
      <c r="AQ21" s="65">
        <f t="shared" ref="AQ21:AS21" si="14">AQ18-AQ19-AQ20</f>
        <v>17828</v>
      </c>
      <c r="AR21" s="148">
        <f t="shared" si="7"/>
        <v>0.11603749023691746</v>
      </c>
      <c r="AS21" s="65">
        <f t="shared" si="14"/>
        <v>24268.5</v>
      </c>
      <c r="AT21" s="150">
        <f t="shared" si="8"/>
        <v>0.13735383674994056</v>
      </c>
      <c r="AW21" s="208" t="s">
        <v>182</v>
      </c>
      <c r="AX21" s="36"/>
      <c r="AY21" s="36"/>
      <c r="AZ21" s="36"/>
      <c r="BA21" s="156">
        <f>BA19/250</f>
        <v>462.55373384150369</v>
      </c>
      <c r="BB21" s="156">
        <f t="shared" ref="BB21:BC21" si="15">BB19/250</f>
        <v>555.26840050817032</v>
      </c>
      <c r="BC21" s="157">
        <f t="shared" si="15"/>
        <v>613.63640050817037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11000</v>
      </c>
      <c r="BT21" s="65">
        <f t="shared" si="16"/>
        <v>11000</v>
      </c>
      <c r="BU21" s="65">
        <f t="shared" si="16"/>
        <v>12000</v>
      </c>
      <c r="BV21" s="66">
        <f t="shared" si="16"/>
        <v>12000</v>
      </c>
      <c r="BY21" s="197">
        <f t="shared" ref="BY21:CE21" si="17">SUM(BY19:BY20)</f>
        <v>6200</v>
      </c>
      <c r="BZ21" s="65">
        <f t="shared" si="17"/>
        <v>12400</v>
      </c>
      <c r="CA21" s="65">
        <f t="shared" si="17"/>
        <v>12400</v>
      </c>
      <c r="CB21" s="65">
        <f t="shared" si="17"/>
        <v>12800</v>
      </c>
      <c r="CC21" s="65">
        <f t="shared" si="17"/>
        <v>13200</v>
      </c>
      <c r="CD21" s="65">
        <f t="shared" si="17"/>
        <v>13600</v>
      </c>
      <c r="CE21" s="131">
        <f t="shared" si="17"/>
        <v>7000</v>
      </c>
      <c r="CF21" s="200">
        <f t="shared" si="13"/>
        <v>133600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4620</v>
      </c>
      <c r="AP22" s="145">
        <f t="shared" si="5"/>
        <v>3.4580838323353291E-2</v>
      </c>
      <c r="AQ22" s="104">
        <f>AH43</f>
        <v>4620</v>
      </c>
      <c r="AR22" s="149">
        <f t="shared" si="7"/>
        <v>3.0070294194220255E-2</v>
      </c>
      <c r="AS22" s="104">
        <f>AI43</f>
        <v>4620</v>
      </c>
      <c r="AT22" s="146">
        <f t="shared" si="8"/>
        <v>2.6148081908017613E-2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84600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84600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20500</v>
      </c>
      <c r="AC23" s="44" t="str">
        <f>'Données à saisir'!A82</f>
        <v>Eau, électricité, gaz</v>
      </c>
      <c r="AG23" s="62">
        <f>IF(ISBLANK('Données à saisir'!B82),0,'Données à saisir'!B82)</f>
        <v>3800</v>
      </c>
      <c r="AH23" s="62">
        <f>IF(ISBLANK('Données à saisir'!C82),0,'Données à saisir'!C82)</f>
        <v>3900</v>
      </c>
      <c r="AI23" s="54">
        <f>IF(ISBLANK('Données à saisir'!D82),0,'Données à saisir'!D82)</f>
        <v>4000</v>
      </c>
      <c r="AL23" s="63" t="s">
        <v>158</v>
      </c>
      <c r="AM23" s="64"/>
      <c r="AN23" s="64"/>
      <c r="AO23" s="65">
        <f>AO21-AO22</f>
        <v>15462</v>
      </c>
      <c r="AP23" s="147">
        <f t="shared" si="5"/>
        <v>0.11573353293413173</v>
      </c>
      <c r="AQ23" s="65">
        <f t="shared" ref="AQ23:AS23" si="18">AQ21-AQ22</f>
        <v>13208</v>
      </c>
      <c r="AR23" s="148">
        <f t="shared" si="7"/>
        <v>8.5967196042697216E-2</v>
      </c>
      <c r="AS23" s="65">
        <f t="shared" si="18"/>
        <v>19648.5</v>
      </c>
      <c r="AT23" s="150">
        <f t="shared" si="8"/>
        <v>0.11120575484192297</v>
      </c>
      <c r="AW23" s="4"/>
      <c r="BA23" s="99"/>
      <c r="BB23" s="99"/>
      <c r="BC23" s="99"/>
      <c r="BF23" s="123" t="s">
        <v>206</v>
      </c>
      <c r="BJ23" s="104">
        <f>AO44</f>
        <v>16070.498669010351</v>
      </c>
      <c r="BK23" s="104">
        <f>AQ44</f>
        <v>14069.598669010349</v>
      </c>
      <c r="BL23" s="159">
        <f>AS44</f>
        <v>19459.023669010348</v>
      </c>
      <c r="BO23" s="123" t="s">
        <v>70</v>
      </c>
      <c r="BR23" s="104">
        <f>Q23</f>
        <v>20500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20500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1990.8250952819421</v>
      </c>
      <c r="AP24" s="145">
        <f t="shared" si="5"/>
        <v>1.4901385443727112E-2</v>
      </c>
      <c r="AQ24" s="104">
        <f>AH42</f>
        <v>2090.8250952819421</v>
      </c>
      <c r="AR24" s="149">
        <f t="shared" si="7"/>
        <v>1.3608598641512251E-2</v>
      </c>
      <c r="AS24" s="104">
        <f>AI42</f>
        <v>2190.8250952819421</v>
      </c>
      <c r="AT24" s="146">
        <f t="shared" si="8"/>
        <v>1.239953983497245E-2</v>
      </c>
      <c r="BF24" s="63" t="s">
        <v>207</v>
      </c>
      <c r="BG24" s="64"/>
      <c r="BH24" s="64"/>
      <c r="BI24" s="64"/>
      <c r="BJ24" s="65">
        <f>SUM(BJ19:BJ23)</f>
        <v>139170.49866901035</v>
      </c>
      <c r="BK24" s="65">
        <f>SUM(BK19:BK23)</f>
        <v>14069.598669010349</v>
      </c>
      <c r="BL24" s="66">
        <f>SUM(BL19:BL23)</f>
        <v>19459.023669010348</v>
      </c>
      <c r="BO24" s="63" t="s">
        <v>227</v>
      </c>
      <c r="BP24" s="64"/>
      <c r="BQ24" s="64"/>
      <c r="BR24" s="65">
        <f>SUM(BR22:BR23)</f>
        <v>105100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105100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900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-1990.8250952819421</v>
      </c>
      <c r="AP25" s="145">
        <f t="shared" si="5"/>
        <v>-1.4901385443727112E-2</v>
      </c>
      <c r="AQ25" s="104">
        <f t="shared" ref="AQ25:AS25" si="19">AQ24*-1</f>
        <v>-2090.8250952819421</v>
      </c>
      <c r="AR25" s="149">
        <f t="shared" si="7"/>
        <v>-1.3608598641512251E-2</v>
      </c>
      <c r="AS25" s="104">
        <f t="shared" si="19"/>
        <v>-2190.8250952819421</v>
      </c>
      <c r="AT25" s="146">
        <f t="shared" si="8"/>
        <v>-1.239953983497245E-2</v>
      </c>
      <c r="BA25" s="90"/>
      <c r="BF25" s="123" t="s">
        <v>208</v>
      </c>
      <c r="BJ25" s="104">
        <f>BJ24-BJ18</f>
        <v>17971.281447875328</v>
      </c>
      <c r="BK25" s="104">
        <f>BK24-BK18</f>
        <v>5192.5732286972379</v>
      </c>
      <c r="BL25" s="120">
        <f>BL24-BL18</f>
        <v>10602.587269793128</v>
      </c>
      <c r="BO25" s="123" t="s">
        <v>261</v>
      </c>
      <c r="BR25" s="104">
        <f>Q30</f>
        <v>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13471.174904718058</v>
      </c>
      <c r="AP26" s="147">
        <f t="shared" si="5"/>
        <v>0.10083214749040463</v>
      </c>
      <c r="AQ26" s="65">
        <f t="shared" ref="AQ26:AS26" si="21">AQ23+AQ25</f>
        <v>11117.174904718058</v>
      </c>
      <c r="AR26" s="148">
        <f t="shared" si="7"/>
        <v>7.2358597401184971E-2</v>
      </c>
      <c r="AS26" s="65">
        <f t="shared" si="21"/>
        <v>17457.674904718056</v>
      </c>
      <c r="AT26" s="150">
        <f t="shared" si="8"/>
        <v>9.8806215006950499E-2</v>
      </c>
      <c r="BF26" s="63" t="s">
        <v>262</v>
      </c>
      <c r="BG26" s="64"/>
      <c r="BH26" s="64"/>
      <c r="BI26" s="64"/>
      <c r="BJ26" s="65">
        <f>BJ25</f>
        <v>17971.281447875328</v>
      </c>
      <c r="BK26" s="65">
        <f>BJ26+BK25</f>
        <v>23163.854676572566</v>
      </c>
      <c r="BL26" s="66">
        <f>+BK26+BL25</f>
        <v>33766.441946365696</v>
      </c>
      <c r="BO26" s="123" t="s">
        <v>228</v>
      </c>
      <c r="BR26" s="104">
        <f>IF(ISERROR('Données à saisir'!$J$73/12),0,'Données à saisir'!$J$73/12)</f>
        <v>751.19047619047615</v>
      </c>
      <c r="BS26" s="104">
        <f>IF(ISERROR('Données à saisir'!$J$73/12),0,'Données à saisir'!$J$73/12)</f>
        <v>751.19047619047615</v>
      </c>
      <c r="BT26" s="104">
        <f>IF(ISERROR('Données à saisir'!$J$73/12),0,'Données à saisir'!$J$73/12)</f>
        <v>751.19047619047615</v>
      </c>
      <c r="BU26" s="104">
        <f>IF(ISERROR('Données à saisir'!$J$73/12),0,'Données à saisir'!$J$73/12)</f>
        <v>751.19047619047615</v>
      </c>
      <c r="BV26" s="120">
        <f>IF(ISERROR('Données à saisir'!$J$73/12),0,'Données à saisir'!$J$73/12)</f>
        <v>751.19047619047615</v>
      </c>
      <c r="BY26" s="196">
        <f>IF(ISERROR('Données à saisir'!$J$73/12),0,'Données à saisir'!$J$73/12)</f>
        <v>751.19047619047615</v>
      </c>
      <c r="BZ26" s="104">
        <f>IF(ISERROR('Données à saisir'!$J$73/12),0,'Données à saisir'!$J$73/12)</f>
        <v>751.19047619047615</v>
      </c>
      <c r="CA26" s="104">
        <f>IF(ISERROR('Données à saisir'!$J$73/12),0,'Données à saisir'!$J$73/12)</f>
        <v>751.19047619047615</v>
      </c>
      <c r="CB26" s="104">
        <f>IF(ISERROR('Données à saisir'!$J$73/12),0,'Données à saisir'!$J$73/12)</f>
        <v>751.19047619047615</v>
      </c>
      <c r="CC26" s="104">
        <f>IF(ISERROR('Données à saisir'!$J$73/12),0,'Données à saisir'!$J$73/12)</f>
        <v>751.19047619047615</v>
      </c>
      <c r="CD26" s="104">
        <f>IF(ISERROR('Données à saisir'!$J$73/12),0,'Données à saisir'!$J$73/12)</f>
        <v>751.19047619047615</v>
      </c>
      <c r="CE26" s="132">
        <f>IF(ISERROR('Données à saisir'!$J$73/12),0,'Données à saisir'!$J$73/12)</f>
        <v>751.19047619047615</v>
      </c>
      <c r="CF26" s="201">
        <f t="shared" si="20"/>
        <v>9014.2857142857138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800</v>
      </c>
      <c r="AI27" s="54">
        <f>IF(ISBLANK('Données à saisir'!D86),0,'Données à saisir'!D86)</f>
        <v>850</v>
      </c>
      <c r="AL27" s="63" t="s">
        <v>162</v>
      </c>
      <c r="AM27" s="64"/>
      <c r="AN27" s="64"/>
      <c r="AO27" s="65">
        <f>IF(ISERROR(AO26-AG45),AO26,(AO26-AG45))</f>
        <v>11450.498669010351</v>
      </c>
      <c r="AP27" s="147">
        <f t="shared" si="5"/>
        <v>8.5707325366843945E-2</v>
      </c>
      <c r="AQ27" s="65">
        <f>IF(ISERROR(AQ26-AH45),AQ26,(AQ26-AH45))</f>
        <v>9449.5986690103491</v>
      </c>
      <c r="AR27" s="148">
        <f t="shared" si="7"/>
        <v>6.150480779100722E-2</v>
      </c>
      <c r="AS27" s="65">
        <f>IF(ISERROR(AS26-AI45),AS26,(AS26-AI45))</f>
        <v>14839.023669010348</v>
      </c>
      <c r="AT27" s="150">
        <f t="shared" si="8"/>
        <v>8.3985282755907928E-2</v>
      </c>
      <c r="BO27" s="123" t="s">
        <v>229</v>
      </c>
      <c r="BR27" s="104">
        <f>BR19*'Données à saisir'!$D$123</f>
        <v>2500</v>
      </c>
      <c r="BS27" s="104">
        <f>BS19*'Données à saisir'!$D$123</f>
        <v>2750</v>
      </c>
      <c r="BT27" s="104">
        <f>BT19*'Données à saisir'!$D$123</f>
        <v>2750</v>
      </c>
      <c r="BU27" s="104">
        <f>BU19*'Données à saisir'!$D$123</f>
        <v>3000</v>
      </c>
      <c r="BV27" s="120">
        <f>BV19*'Données à saisir'!$D$123</f>
        <v>3000</v>
      </c>
      <c r="BY27" s="196">
        <f>BY19*'Données à saisir'!$D$123</f>
        <v>1550</v>
      </c>
      <c r="BZ27" s="104">
        <f>BZ19*'Données à saisir'!$D$123</f>
        <v>3100</v>
      </c>
      <c r="CA27" s="104">
        <f>CA19*'Données à saisir'!$D$123</f>
        <v>3100</v>
      </c>
      <c r="CB27" s="104">
        <f>CB19*'Données à saisir'!$D$123</f>
        <v>3200</v>
      </c>
      <c r="CC27" s="104">
        <f>CC19*'Données à saisir'!$D$123</f>
        <v>3300</v>
      </c>
      <c r="CD27" s="104">
        <f>CD19*'Données à saisir'!$D$123</f>
        <v>3400</v>
      </c>
      <c r="CE27" s="132">
        <f>CE19*'Données à saisir'!$D$123</f>
        <v>1750</v>
      </c>
      <c r="CF27" s="201">
        <f t="shared" si="20"/>
        <v>33400</v>
      </c>
    </row>
    <row r="28" spans="2:84" ht="15.1" customHeight="1" thickBot="1" x14ac:dyDescent="0.3">
      <c r="B28" s="26"/>
      <c r="C28" s="327" t="str">
        <f>IF(ISBLANK('Données à saisir'!B7),"",('Données à saisir'!B7))</f>
        <v>Salon de thé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16070.498669010351</v>
      </c>
      <c r="AP28" s="145">
        <f t="shared" si="5"/>
        <v>0.12028816369019724</v>
      </c>
      <c r="AQ28" s="104">
        <f t="shared" ref="AQ28:AS28" si="22">AQ27+AQ22</f>
        <v>14069.598669010349</v>
      </c>
      <c r="AR28" s="149">
        <f t="shared" si="7"/>
        <v>9.1575101985227475E-2</v>
      </c>
      <c r="AS28" s="104">
        <f t="shared" si="22"/>
        <v>19459.023669010348</v>
      </c>
      <c r="AT28" s="151">
        <f t="shared" si="8"/>
        <v>0.11013336466392554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3255.8333333333335</v>
      </c>
      <c r="BS28" s="104">
        <f t="shared" ref="BS28:CE28" si="23">$AG$17/12</f>
        <v>3255.8333333333335</v>
      </c>
      <c r="BT28" s="104">
        <f t="shared" si="23"/>
        <v>3255.8333333333335</v>
      </c>
      <c r="BU28" s="104">
        <f t="shared" si="23"/>
        <v>3255.8333333333335</v>
      </c>
      <c r="BV28" s="120">
        <f t="shared" si="23"/>
        <v>3255.8333333333335</v>
      </c>
      <c r="BY28" s="196">
        <f t="shared" si="23"/>
        <v>3255.8333333333335</v>
      </c>
      <c r="BZ28" s="104">
        <f t="shared" si="23"/>
        <v>3255.8333333333335</v>
      </c>
      <c r="CA28" s="104">
        <f t="shared" si="23"/>
        <v>3255.8333333333335</v>
      </c>
      <c r="CB28" s="104">
        <f t="shared" si="23"/>
        <v>3255.8333333333335</v>
      </c>
      <c r="CC28" s="104">
        <f t="shared" si="23"/>
        <v>3255.8333333333335</v>
      </c>
      <c r="CD28" s="104">
        <f t="shared" si="23"/>
        <v>3255.8333333333335</v>
      </c>
      <c r="CE28" s="132">
        <f t="shared" si="23"/>
        <v>3255.8333333333335</v>
      </c>
      <c r="CF28" s="201">
        <f t="shared" si="20"/>
        <v>39070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21000</v>
      </c>
      <c r="AI29" s="54">
        <f>IF(ISBLANK('Données à saisir'!D88),0,'Données à saisir'!D88)</f>
        <v>22000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700</v>
      </c>
      <c r="BS30" s="119">
        <f t="shared" si="24"/>
        <v>700</v>
      </c>
      <c r="BT30" s="119">
        <f t="shared" si="24"/>
        <v>700</v>
      </c>
      <c r="BU30" s="119">
        <f t="shared" si="24"/>
        <v>700</v>
      </c>
      <c r="BV30" s="209">
        <f t="shared" si="24"/>
        <v>700</v>
      </c>
      <c r="BY30" s="210">
        <f t="shared" si="25"/>
        <v>700</v>
      </c>
      <c r="BZ30" s="119">
        <f t="shared" si="25"/>
        <v>700</v>
      </c>
      <c r="CA30" s="119">
        <f t="shared" si="25"/>
        <v>700</v>
      </c>
      <c r="CB30" s="119">
        <f t="shared" si="25"/>
        <v>700</v>
      </c>
      <c r="CC30" s="119">
        <f t="shared" si="25"/>
        <v>700</v>
      </c>
      <c r="CD30" s="119">
        <f t="shared" si="25"/>
        <v>700</v>
      </c>
      <c r="CE30" s="211">
        <f t="shared" si="25"/>
        <v>700</v>
      </c>
      <c r="CF30" s="213">
        <f t="shared" si="20"/>
        <v>8400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520</v>
      </c>
      <c r="Y31" s="110">
        <f>SUM(Y33:Y39)</f>
        <v>520</v>
      </c>
      <c r="Z31" s="111">
        <f>SUM(Z33:Z39)</f>
        <v>520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320</v>
      </c>
      <c r="AH31" s="62">
        <f>IF(ISBLANK('Données à saisir'!C93),0,'Données à saisir'!C93)</f>
        <v>340</v>
      </c>
      <c r="AI31" s="69">
        <f>IF(ISBLANK('Données à saisir'!D93),0,'Données à saisir'!D93)</f>
        <v>340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504</v>
      </c>
      <c r="BS31" s="104">
        <f t="shared" si="24"/>
        <v>504</v>
      </c>
      <c r="BT31" s="104">
        <f t="shared" si="24"/>
        <v>504</v>
      </c>
      <c r="BU31" s="104">
        <f t="shared" si="24"/>
        <v>504</v>
      </c>
      <c r="BV31" s="120">
        <f t="shared" si="24"/>
        <v>504</v>
      </c>
      <c r="BY31" s="196">
        <f t="shared" si="25"/>
        <v>504</v>
      </c>
      <c r="BZ31" s="104">
        <f t="shared" si="25"/>
        <v>504</v>
      </c>
      <c r="CA31" s="104">
        <f t="shared" si="25"/>
        <v>504</v>
      </c>
      <c r="CB31" s="104">
        <f t="shared" si="25"/>
        <v>504</v>
      </c>
      <c r="CC31" s="104">
        <f t="shared" si="25"/>
        <v>504</v>
      </c>
      <c r="CD31" s="104">
        <f t="shared" si="25"/>
        <v>504</v>
      </c>
      <c r="CE31" s="132">
        <f t="shared" si="25"/>
        <v>504</v>
      </c>
      <c r="CF31" s="201">
        <f t="shared" si="20"/>
        <v>6048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123100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1200</v>
      </c>
      <c r="AH32" s="62">
        <f>IF(ISBLANK('Données à saisir'!C94),0,'Données à saisir'!C94)</f>
        <v>1300</v>
      </c>
      <c r="AI32" s="69">
        <f>IF(ISBLANK('Données à saisir'!D94),0,'Données à saisir'!D94)</f>
        <v>1400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3420.666666666667</v>
      </c>
      <c r="BS34" s="65">
        <f t="shared" ref="BS34:CE34" si="27">SUM(BS30:BS33)</f>
        <v>3420.666666666667</v>
      </c>
      <c r="BT34" s="65">
        <f t="shared" si="27"/>
        <v>3420.666666666667</v>
      </c>
      <c r="BU34" s="65">
        <f t="shared" si="27"/>
        <v>3420.666666666667</v>
      </c>
      <c r="BV34" s="66">
        <f t="shared" si="27"/>
        <v>3420.666666666667</v>
      </c>
      <c r="BY34" s="197">
        <f t="shared" si="27"/>
        <v>3420.666666666667</v>
      </c>
      <c r="BZ34" s="65">
        <f t="shared" si="27"/>
        <v>3420.666666666667</v>
      </c>
      <c r="CA34" s="65">
        <f t="shared" si="27"/>
        <v>3420.666666666667</v>
      </c>
      <c r="CB34" s="65">
        <f t="shared" si="27"/>
        <v>3420.666666666667</v>
      </c>
      <c r="CC34" s="65">
        <f t="shared" si="27"/>
        <v>3420.666666666667</v>
      </c>
      <c r="CD34" s="65">
        <f t="shared" si="27"/>
        <v>3420.666666666667</v>
      </c>
      <c r="CE34" s="131">
        <f t="shared" si="27"/>
        <v>3420.666666666667</v>
      </c>
      <c r="CF34" s="200">
        <f t="shared" si="20"/>
        <v>41048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61130</v>
      </c>
      <c r="AH35" s="65">
        <f>AH16-AH17</f>
        <v>76320</v>
      </c>
      <c r="AI35" s="66">
        <f>AI16-AI17</f>
        <v>91654.5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165.90209127349519</v>
      </c>
      <c r="BS35" s="104">
        <f>$AG42/12</f>
        <v>165.90209127349519</v>
      </c>
      <c r="BT35" s="104">
        <f>$AG42/12</f>
        <v>165.90209127349519</v>
      </c>
      <c r="BU35" s="104">
        <f>$AG42/12</f>
        <v>165.90209127349519</v>
      </c>
      <c r="BV35" s="120">
        <f>$AG42/12</f>
        <v>165.90209127349519</v>
      </c>
      <c r="BY35" s="196">
        <f t="shared" ref="BY35:CE35" si="28">$AG42/12</f>
        <v>165.90209127349519</v>
      </c>
      <c r="BZ35" s="104">
        <f t="shared" si="28"/>
        <v>165.90209127349519</v>
      </c>
      <c r="CA35" s="104">
        <f t="shared" si="28"/>
        <v>165.90209127349519</v>
      </c>
      <c r="CB35" s="104">
        <f t="shared" si="28"/>
        <v>165.90209127349519</v>
      </c>
      <c r="CC35" s="104">
        <f t="shared" si="28"/>
        <v>165.90209127349519</v>
      </c>
      <c r="CD35" s="104">
        <f t="shared" si="28"/>
        <v>165.90209127349519</v>
      </c>
      <c r="CE35" s="132">
        <f t="shared" si="28"/>
        <v>165.90209127349519</v>
      </c>
      <c r="CF35" s="201">
        <f t="shared" si="20"/>
        <v>1990.8250952819424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1200</v>
      </c>
      <c r="AI36" s="53">
        <f>IF(ISBLANK('Données à saisir'!D91),0,'Données à saisir'!D91)</f>
        <v>1250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123193.59256746397</v>
      </c>
      <c r="BS36" s="65">
        <f>SUM(BS24:BS29,BS34:BS35)</f>
        <v>10343.592567463973</v>
      </c>
      <c r="BT36" s="65">
        <f>SUM(BT24:BT29,BT34:BT35)</f>
        <v>10343.592567463973</v>
      </c>
      <c r="BU36" s="65">
        <f>SUM(BU24:BU29,BU34:BU35)</f>
        <v>10593.592567463973</v>
      </c>
      <c r="BV36" s="66">
        <f>SUM(BV24:BV29,BV34:BV35)</f>
        <v>10593.592567463973</v>
      </c>
      <c r="BY36" s="197">
        <f t="shared" ref="BY36:CE36" si="29">SUM(BY24:BY29,BY34:BY35)</f>
        <v>9143.592567463973</v>
      </c>
      <c r="BZ36" s="65">
        <f t="shared" si="29"/>
        <v>10693.592567463973</v>
      </c>
      <c r="CA36" s="65">
        <f t="shared" si="29"/>
        <v>10693.592567463973</v>
      </c>
      <c r="CB36" s="65">
        <f t="shared" si="29"/>
        <v>10793.592567463973</v>
      </c>
      <c r="CC36" s="65">
        <f t="shared" si="29"/>
        <v>10893.592567463973</v>
      </c>
      <c r="CD36" s="65">
        <f t="shared" si="29"/>
        <v>10993.592567463973</v>
      </c>
      <c r="CE36" s="131">
        <f t="shared" si="29"/>
        <v>9343.592567463973</v>
      </c>
      <c r="CF36" s="200">
        <f t="shared" si="20"/>
        <v>237623.11080956779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8400</v>
      </c>
      <c r="AH37" s="57">
        <f>'Données à saisir'!C133</f>
        <v>8600</v>
      </c>
      <c r="AI37" s="53">
        <f>'Données à saisir'!D133</f>
        <v>8800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133100</v>
      </c>
      <c r="BS37" s="65">
        <f>SUM(BS15:BS20)</f>
        <v>11000</v>
      </c>
      <c r="BT37" s="65">
        <f>SUM(BT15:BT20)</f>
        <v>11000</v>
      </c>
      <c r="BU37" s="65">
        <f>SUM(BU15:BU20)</f>
        <v>12000</v>
      </c>
      <c r="BV37" s="66">
        <f>SUM(BV15:BV20)</f>
        <v>12000</v>
      </c>
      <c r="BY37" s="197">
        <f t="shared" ref="BY37:CE37" si="30">SUM(BY15:BY20)</f>
        <v>6200</v>
      </c>
      <c r="BZ37" s="65">
        <f t="shared" si="30"/>
        <v>12400</v>
      </c>
      <c r="CA37" s="65">
        <f t="shared" si="30"/>
        <v>12400</v>
      </c>
      <c r="CB37" s="65">
        <f t="shared" si="30"/>
        <v>12800</v>
      </c>
      <c r="CC37" s="65">
        <f t="shared" si="30"/>
        <v>13200</v>
      </c>
      <c r="CD37" s="65">
        <f t="shared" si="30"/>
        <v>13600</v>
      </c>
      <c r="CE37" s="131">
        <f t="shared" si="30"/>
        <v>7000</v>
      </c>
      <c r="CF37" s="200">
        <f t="shared" ref="CF37" si="31">SUM(BR37:CE37)</f>
        <v>256700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24</v>
      </c>
      <c r="AG38" s="104">
        <f>'Données à saisir'!B139</f>
        <v>6048</v>
      </c>
      <c r="AH38" s="104">
        <f>'Données à saisir'!C139</f>
        <v>6192</v>
      </c>
      <c r="AI38" s="120">
        <f>'Données à saisir'!D139</f>
        <v>6336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915.06849315068496</v>
      </c>
      <c r="BB38" s="177">
        <f>BB12/365*$AZ38</f>
        <v>1052.3287671232877</v>
      </c>
      <c r="BC38" s="178">
        <f>BC12/365*$AZ38</f>
        <v>1210.1780821917807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9906.407432536027</v>
      </c>
      <c r="BT38" s="104">
        <f>BS40</f>
        <v>10562.814865072054</v>
      </c>
      <c r="BU38" s="104">
        <f>BT40</f>
        <v>11219.222297608081</v>
      </c>
      <c r="BV38" s="159">
        <f>BU40</f>
        <v>12625.629730144108</v>
      </c>
      <c r="BY38" s="196">
        <f>BV40</f>
        <v>14032.037162680135</v>
      </c>
      <c r="BZ38" s="104">
        <f t="shared" ref="BZ38:CE38" si="32">BY40</f>
        <v>11088.444595216162</v>
      </c>
      <c r="CA38" s="104">
        <f t="shared" si="32"/>
        <v>12794.852027752189</v>
      </c>
      <c r="CB38" s="104">
        <f t="shared" si="32"/>
        <v>14501.259460288216</v>
      </c>
      <c r="CC38" s="104">
        <f t="shared" si="32"/>
        <v>16507.666892824243</v>
      </c>
      <c r="CD38" s="104">
        <f t="shared" si="32"/>
        <v>18814.07432536027</v>
      </c>
      <c r="CE38" s="132">
        <f t="shared" si="32"/>
        <v>21420.481757896297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30000</v>
      </c>
      <c r="AW39" s="166" t="s">
        <v>191</v>
      </c>
      <c r="AX39" s="165"/>
      <c r="AY39" s="64"/>
      <c r="AZ39" s="167"/>
      <c r="BA39" s="173">
        <f>BA36-BA38</f>
        <v>-915.06849315068496</v>
      </c>
      <c r="BB39" s="174">
        <f>BB36-BB38</f>
        <v>-1052.3287671232877</v>
      </c>
      <c r="BC39" s="175">
        <f>BC36-BC38</f>
        <v>-1210.1780821917807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9906.407432536027</v>
      </c>
      <c r="BS39" s="57">
        <f t="shared" ref="BS39:CE39" si="33">BS37-BS36</f>
        <v>656.40743253602704</v>
      </c>
      <c r="BT39" s="57">
        <f t="shared" si="33"/>
        <v>656.40743253602704</v>
      </c>
      <c r="BU39" s="57">
        <f t="shared" si="33"/>
        <v>1406.407432536027</v>
      </c>
      <c r="BV39" s="68">
        <f t="shared" si="33"/>
        <v>1406.407432536027</v>
      </c>
      <c r="BW39" s="1"/>
      <c r="BX39" s="1"/>
      <c r="BY39" s="215">
        <f t="shared" si="33"/>
        <v>-2943.592567463973</v>
      </c>
      <c r="BZ39" s="57">
        <f t="shared" si="33"/>
        <v>1706.407432536027</v>
      </c>
      <c r="CA39" s="57">
        <f t="shared" si="33"/>
        <v>1706.407432536027</v>
      </c>
      <c r="CB39" s="57">
        <f t="shared" si="33"/>
        <v>2006.407432536027</v>
      </c>
      <c r="CC39" s="57">
        <f t="shared" si="33"/>
        <v>2306.407432536027</v>
      </c>
      <c r="CD39" s="57">
        <f t="shared" si="33"/>
        <v>2606.407432536027</v>
      </c>
      <c r="CE39" s="74">
        <f t="shared" si="33"/>
        <v>-2343.592567463973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63100</v>
      </c>
      <c r="T40" s="107" t="s">
        <v>150</v>
      </c>
      <c r="U40" s="34"/>
      <c r="V40" s="34"/>
      <c r="W40" s="34"/>
      <c r="X40" s="110">
        <f>SUM(X42:X46)</f>
        <v>4100</v>
      </c>
      <c r="Y40" s="110">
        <f>SUM(Y42:Y46)</f>
        <v>4100</v>
      </c>
      <c r="Z40" s="237">
        <f>SUM(Z42:Z46)</f>
        <v>4100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21000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9906.407432536027</v>
      </c>
      <c r="BS40" s="65">
        <f>BS38+BS39</f>
        <v>10562.814865072054</v>
      </c>
      <c r="BT40" s="65">
        <f>BT38+BT39</f>
        <v>11219.222297608081</v>
      </c>
      <c r="BU40" s="65">
        <f>BU38+BU39</f>
        <v>12625.629730144108</v>
      </c>
      <c r="BV40" s="66">
        <f t="shared" ref="BV40:CE40" si="34">BV38+BV39</f>
        <v>14032.037162680135</v>
      </c>
      <c r="BY40" s="197">
        <f t="shared" si="34"/>
        <v>11088.444595216162</v>
      </c>
      <c r="BZ40" s="65">
        <f t="shared" si="34"/>
        <v>12794.852027752189</v>
      </c>
      <c r="CA40" s="65">
        <f t="shared" si="34"/>
        <v>14501.259460288216</v>
      </c>
      <c r="CB40" s="65">
        <f t="shared" si="34"/>
        <v>16507.666892824243</v>
      </c>
      <c r="CC40" s="65">
        <f t="shared" si="34"/>
        <v>18814.07432536027</v>
      </c>
      <c r="CD40" s="65">
        <f t="shared" si="34"/>
        <v>21420.481757896297</v>
      </c>
      <c r="CE40" s="131">
        <f t="shared" si="34"/>
        <v>19076.889190432325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63100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20082</v>
      </c>
      <c r="AH41" s="65">
        <f t="shared" ref="AH41:AI41" si="35">AH35-SUM(AH36:AH40)</f>
        <v>17828</v>
      </c>
      <c r="AI41" s="66">
        <f t="shared" si="35"/>
        <v>24268.5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1990.8250952819421</v>
      </c>
      <c r="AH42" s="57">
        <f>'Données à saisir'!C90+SUM('Données à saisir'!H70:H72)</f>
        <v>2090.8250952819421</v>
      </c>
      <c r="AI42" s="53">
        <f>'Données à saisir'!D90+SUM('Données à saisir'!I70:I72)</f>
        <v>2190.8250952819421</v>
      </c>
      <c r="AL42" s="63" t="s">
        <v>162</v>
      </c>
      <c r="AM42" s="64"/>
      <c r="AN42" s="64"/>
      <c r="AO42" s="131">
        <f>AO27</f>
        <v>11450.498669010351</v>
      </c>
      <c r="AP42" s="136"/>
      <c r="AQ42" s="131">
        <f>AQ27</f>
        <v>9449.5986690103491</v>
      </c>
      <c r="AR42" s="136"/>
      <c r="AS42" s="128">
        <f>AS27</f>
        <v>14839.023669010348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4620</v>
      </c>
      <c r="AH43" s="57">
        <f>'Données à saisir'!D39</f>
        <v>4620</v>
      </c>
      <c r="AI43" s="53">
        <f>'Données à saisir'!E39</f>
        <v>4620</v>
      </c>
      <c r="AL43" s="122" t="s">
        <v>163</v>
      </c>
      <c r="AM43" s="1"/>
      <c r="AN43" s="1"/>
      <c r="AO43" s="132">
        <f>AO22</f>
        <v>4620</v>
      </c>
      <c r="AP43" s="137"/>
      <c r="AQ43" s="132">
        <f>AQ22</f>
        <v>4620</v>
      </c>
      <c r="AR43" s="137"/>
      <c r="AS43" s="127">
        <f>AS22</f>
        <v>4620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13471.174904718056</v>
      </c>
      <c r="AH44" s="65">
        <f t="shared" ref="AH44:AI44" si="37">AH41-AH42-AH43</f>
        <v>11117.174904718058</v>
      </c>
      <c r="AI44" s="66">
        <f t="shared" si="37"/>
        <v>17457.674904718056</v>
      </c>
      <c r="AL44" s="63" t="s">
        <v>160</v>
      </c>
      <c r="AM44" s="64"/>
      <c r="AN44" s="64"/>
      <c r="AO44" s="131">
        <f>AO42+AO43</f>
        <v>16070.498669010351</v>
      </c>
      <c r="AP44" s="136"/>
      <c r="AQ44" s="131">
        <f t="shared" ref="AQ44:AS44" si="38">AQ42+AQ43</f>
        <v>14069.598669010349</v>
      </c>
      <c r="AR44" s="136"/>
      <c r="AS44" s="128">
        <f t="shared" si="38"/>
        <v>19459.023669010348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2020.6762357077084</v>
      </c>
      <c r="AH45" s="57">
        <f>IF(AC45="Impôt sur les sociétés",IF(AH44&lt;0,0,IF(AH44&gt;38120,38120*0.15+(AH44-38120)*25%,AH44*0.15)),"")</f>
        <v>1667.5762357077087</v>
      </c>
      <c r="AI45" s="53">
        <f>+IF(AC45="Impôt sur les sociétés",IF(AI44&lt;0,0,IF(AI44&gt;38120,38120*0.15+(AI44-38120)*25%,AI44*0.15)),"")</f>
        <v>2618.6512357077086</v>
      </c>
      <c r="AL45" s="123" t="s">
        <v>164</v>
      </c>
      <c r="AO45" s="132">
        <f>IF(ISERROR(SUM('Données à saisir'!J70:J72)),0,SUM('Données à saisir'!J70:J72))</f>
        <v>9014.2857142857138</v>
      </c>
      <c r="AP45" s="137"/>
      <c r="AQ45" s="132">
        <f>SUM('Données à saisir'!K70:K72)</f>
        <v>9014.2857142857138</v>
      </c>
      <c r="AR45" s="137"/>
      <c r="AS45" s="127">
        <f>SUM('Données à saisir'!L70:L72)</f>
        <v>9014.2857142857138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7056.2129547246368</v>
      </c>
      <c r="AP46" s="138"/>
      <c r="AQ46" s="133">
        <f>AQ44-AQ45</f>
        <v>5055.3129547246353</v>
      </c>
      <c r="AR46" s="138"/>
      <c r="AS46" s="129">
        <f>AS44-AS45</f>
        <v>10444.737954724635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44981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11450.498669010349</v>
      </c>
      <c r="AH47" s="65">
        <f t="shared" ref="AH47:AI47" si="39">AH44-SUM(AH45)</f>
        <v>9449.5986690103491</v>
      </c>
      <c r="AI47" s="66">
        <f t="shared" si="39"/>
        <v>14839.023669010348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123100</v>
      </c>
      <c r="T48" s="109" t="s">
        <v>151</v>
      </c>
      <c r="U48" s="108"/>
      <c r="V48" s="108"/>
      <c r="W48" s="108"/>
      <c r="X48" s="112">
        <f>SUM(X31,X40)</f>
        <v>4620</v>
      </c>
      <c r="Y48" s="112">
        <f>SUM(Y31,Y40)</f>
        <v>4620</v>
      </c>
      <c r="Z48" s="118">
        <f>SUM(Z31,Z40)</f>
        <v>4620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40071.174904718056</v>
      </c>
      <c r="AH52" s="90">
        <f>AH35-SUM(AH36:AH38,AH42:AH43)</f>
        <v>53617.174904718056</v>
      </c>
      <c r="AI52" s="90">
        <f>AI35-SUM(AI36:AI38,AI42:AI43)</f>
        <v>68457.674904718064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2023-02-24T15:52:10Z</dcterms:modified>
</cp:coreProperties>
</file>