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FE6FB16E-E87B-4CE6-9195-3615A205385E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34" i="1"/>
  <c r="Q38" i="2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67" i="1" l="1"/>
  <c r="C67" i="1" s="1"/>
  <c r="Q37" i="2"/>
  <c r="BJ19" i="2" s="1"/>
  <c r="BR15" i="2" s="1"/>
  <c r="CF15" i="2" s="1"/>
  <c r="BT37" i="2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39" i="1"/>
  <c r="E54" i="1" l="1"/>
  <c r="Z46" i="2" s="1"/>
  <c r="Q48" i="2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<sst xmlns="http://schemas.openxmlformats.org/spreadsheetml/2006/main" count="451" uniqueCount="302">
  <si>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</si>
  <si>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</si>
  <si>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</si>
  <si>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</si>
  <si>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</si>
  <si>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</si>
  <si>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</si>
  <si>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</si>
  <si>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</si>
  <si>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</si>
  <si>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</si>
  <si>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</si>
  <si>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</si>
  <si>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</si>
  <si>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</si>
  <si>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</si>
  <si>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</si>
  <si>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</si>
  <si>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</si>
  <si>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</si>
  <si>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</si>
  <si>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</si>
  <si>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</si>
  <si>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</si>
  <si>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</si>
  <si>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</si>
  <si>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</si>
  <si>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</si>
  <si>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</si>
  <si>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</si>
  <si>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</si>
  <si>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</si>
  <si>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</si>
  <si>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</si>
  <si>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</si>
  <si>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</si>
  <si>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</si>
  <si>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</si>
  <si>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</si>
  <si>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</si>
  <si>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</si>
  <si>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</si>
  <si>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</si>
  <si>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</si>
  <si>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</si>
  <si>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</si>
  <si>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</si>
  <si>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</si>
  <si>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</si>
  <si>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</si>
  <si>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</si>
  <si>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</si>
  <si>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</si>
  <si>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</si>
  <si>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</si>
  <si>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</si>
  <si>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</si>
  <si>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</si>
  <si>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</si>
  <si>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</si>
  <si>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</si>
  <si>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</si>
  <si>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</si>
  <si>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</si>
  <si>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</si>
  <si>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</si>
  <si>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</si>
  <si>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</si>
  <si>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</si>
  <si>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</si>
  <si>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</si>
  <si>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</si>
  <si>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</si>
  <si>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</si>
  <si>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</si>
  <si>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</si>
  <si>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</si>
  <si>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</si>
  <si>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</si>
  <si>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</si>
  <si>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</si>
  <si>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</si>
  <si>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</si>
  <si>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</si>
  <si>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</si>
  <si>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</si>
  <si>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</si>
  <si>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</si>
  <si>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</si>
  <si>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</si>
  <si>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</si>
  <si>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</si>
  <si>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</si>
  <si>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</si>
  <si>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</si>
  <si>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</si>
  <si>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</si>
  <si>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</si>
  <si>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</si>
  <si>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</si>
  <si>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</si>
  <si>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</si>
  <si>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</si>
  <si>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</si>
  <si>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</si>
  <si>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</si>
  <si>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</si>
  <si>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</si>
  <si>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</si>
  <si>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</si>
  <si>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</si>
  <si>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</si>
  <si>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</si>
  <si>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</si>
  <si>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</si>
  <si>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</si>
  <si>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</si>
  <si>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</si>
  <si>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</si>
  <si>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</si>
  <si>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</si>
  <si>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</si>
  <si>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</si>
  <si>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</si>
  <si>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</si>
  <si>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</si>
  <si>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</si>
  <si>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</si>
  <si>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</si>
  <si>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</si>
  <si>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</si>
  <si>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</si>
  <si>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</si>
  <si>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</si>
  <si>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</si>
  <si>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</si>
  <si>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</si>
  <si>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</si>
  <si>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</si>
  <si>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</si>
  <si>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</si>
  <si>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</si>
  <si>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</si>
  <si>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</si>
  <si>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</si>
  <si>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</si>
  <si>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</si>
  <si>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</si>
  <si>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</si>
  <si>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</si>
  <si>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</si>
  <si>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</si>
  <si>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</si>
  <si>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</si>
  <si>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</si>
  <si>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</si>
  <si>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</si>
  <si>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</si>
  <si>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</si>
  <si>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</si>
  <si>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</si>
  <si>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</si>
  <si>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</si>
  <si>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</si>
  <si>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</si>
  <si>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</si>
  <si>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</si>
  <si>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</si>
  <si>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</si>
  <si>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</si>
  <si>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</si>
  <si>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</si>
  <si>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</si>
  <si>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</si>
  <si>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</si>
  <si>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</si>
  <si>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</si>
  <si>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</si>
  <si>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</si>
  <si>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</si>
  <si>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</si>
  <si>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</si>
  <si>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</si>
  <si>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</si>
  <si>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</si>
  <si>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</si>
  <si>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</si>
  <si>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</si>
  <si>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</si>
  <si>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</si>
  <si>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</si>
  <si>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</si>
  <si>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</si>
  <si>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</si>
  <si>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</si>
  <si>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</si>
  <si>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</si>
  <si>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</si>
  <si>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</si>
  <si>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</si>
  <si>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</si>
  <si>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</si>
  <si>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</si>
  <si>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</si>
  <si>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</si>
  <si>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</si>
  <si>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</si>
  <si>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</si>
  <si>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</si>
  <si>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</si>
  <si>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</si>
  <si>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</si>
  <si>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</si>
  <si>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</si>
  <si>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</si>
  <si>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</si>
  <si>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</si>
  <si>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</si>
  <si>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</si>
  <si>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</si>
  <si>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</si>
  <si>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</si>
  <si>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</si>
  <si>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</si>
  <si>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</si>
  <si>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</si>
  <si>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</si>
  <si>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</si>
  <si>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</si>
  <si>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</si>
  <si>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</si>
  <si>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</si>
  <si>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</si>
  <si>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</si>
  <si>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</si>
  <si>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</si>
  <si>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</si>
  <si>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</si>
  <si>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</si>
  <si>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</si>
  <si>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</si>
  <si>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</si>
  <si>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</si>
  <si>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</si>
  <si>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</si>
  <si>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</si>
  <si>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</si>
  <si>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</si>
  <si>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</si>
  <si>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</si>
  <si>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</si>
  <si>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</si>
  <si>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</si>
  <si>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</si>
  <si>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</si>
  <si>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</si>
  <si>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</si>
  <si>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</si>
  <si>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</si>
  <si>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</si>
  <si>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</si>
  <si>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</si>
  <si>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</si>
  <si>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</si>
  <si>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</si>
  <si>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</si>
  <si>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</si>
  <si>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</si>
  <si>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</si>
  <si>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</si>
  <si>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</si>
  <si>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</si>
  <si>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</si>
  <si>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</si>
  <si>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</si>
  <si>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</si>
  <si>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</si>
  <si>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</si>
  <si>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</si>
  <si>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</si>
  <si>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</si>
  <si>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</si>
  <si>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</si>
  <si>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</si>
  <si>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</si>
  <si>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</si>
  <si>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</si>
  <si>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</si>
  <si>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</si>
  <si>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</si>
  <si>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</si>
  <si>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</si>
  <si>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</si>
  <si>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</si>
  <si>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</si>
  <si>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</si>
  <si>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</si>
  <si>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</si>
  <si>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</si>
  <si>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Vente sur les marchés</t>
  </si>
  <si>
    <t>Matériel, véhicule</t>
  </si>
  <si>
    <t>Droits de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</si>
</sst>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86</v>
      </c>
      <c r="L3" t="s">
        <v>102</v>
      </c>
      <c r="N3" t="s">
        <v>103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108</v>
      </c>
      <c r="K4" t="s">
        <v>87</v>
      </c>
      <c r="L4" t="s">
        <v>90</v>
      </c>
      <c r="N4" t="s">
        <v>85</v>
      </c>
    </row>
    <row r="5" spans="1:14" ht="15.1" customHeight="1" x14ac:dyDescent="0.25">
      <c r="G5" s="232"/>
      <c r="H5" s="286"/>
      <c r="I5" s="286"/>
      <c r="J5" t="s">
        <v>107</v>
      </c>
      <c r="L5" t="s">
        <v>115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294</v>
      </c>
      <c r="I6" s="287"/>
      <c r="J6" t="s">
        <v>109</v>
      </c>
    </row>
    <row r="7" spans="1:14" ht="15.1" customHeight="1" x14ac:dyDescent="0.25">
      <c r="A7" s="275" t="s">
        <v>262</v>
      </c>
      <c r="B7" s="288" t="s">
        <v>299</v>
      </c>
      <c r="C7" s="288"/>
      <c r="D7" s="5" t="s">
        <v>3</v>
      </c>
      <c r="G7" s="232"/>
      <c r="H7" s="287"/>
      <c r="I7" s="287"/>
      <c r="J7" t="s">
        <v>110</v>
      </c>
    </row>
    <row r="8" spans="1:14" ht="15.1" customHeight="1" x14ac:dyDescent="0.25">
      <c r="A8" s="275" t="s">
        <v>0</v>
      </c>
      <c r="B8" s="288" t="s">
        <v>111</v>
      </c>
      <c r="C8" s="288"/>
      <c r="D8" s="5" t="s">
        <v>104</v>
      </c>
      <c r="G8" s="232"/>
      <c r="H8" s="232"/>
      <c r="J8" t="s">
        <v>111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65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112</v>
      </c>
    </row>
    <row r="12" spans="1:14" ht="15.75" customHeight="1" x14ac:dyDescent="0.25">
      <c r="A12" s="1"/>
      <c r="B12" s="293"/>
      <c r="C12" s="293"/>
      <c r="G12" s="232"/>
      <c r="H12" s="232"/>
      <c r="J12" t="s">
        <v>108</v>
      </c>
      <c r="K12" t="s">
        <v>112</v>
      </c>
    </row>
    <row r="13" spans="1:14" x14ac:dyDescent="0.25">
      <c r="A13" s="1" t="s">
        <v>89</v>
      </c>
      <c r="B13" s="292" t="s">
        <v>102</v>
      </c>
      <c r="C13" s="292"/>
      <c r="D13" s="292"/>
      <c r="E13" s="5" t="s">
        <v>104</v>
      </c>
      <c r="J13" t="s">
        <v>107</v>
      </c>
      <c r="K13" t="s">
        <v>113</v>
      </c>
    </row>
    <row r="14" spans="1:14" ht="36" customHeight="1" x14ac:dyDescent="0.3">
      <c r="A14" s="270" t="s">
        <v>57</v>
      </c>
      <c r="J14" t="s">
        <v>109</v>
      </c>
      <c r="K14" t="s">
        <v>113</v>
      </c>
    </row>
    <row r="15" spans="1:14" x14ac:dyDescent="0.25">
      <c r="A15" s="4" t="s">
        <v>242</v>
      </c>
      <c r="J15" t="s">
        <v>110</v>
      </c>
      <c r="K15" t="s">
        <v>113</v>
      </c>
    </row>
    <row r="16" spans="1:14" ht="15.1" x14ac:dyDescent="0.25">
      <c r="B16" s="222" t="s">
        <v>246</v>
      </c>
      <c r="J16" t="s">
        <v>111</v>
      </c>
      <c r="K16" t="s">
        <v>113</v>
      </c>
    </row>
    <row r="17" spans="1:8" ht="15.1" customHeight="1" x14ac:dyDescent="0.25">
      <c r="A17" s="276" t="s">
        <v>33</v>
      </c>
      <c r="B17" s="255">
        <v>800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47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>
        <v>3000</v>
      </c>
      <c r="C27" s="5" t="s">
        <v>19</v>
      </c>
    </row>
    <row r="28" spans="1:8" x14ac:dyDescent="0.25">
      <c r="A28" s="276" t="s">
        <v>70</v>
      </c>
      <c r="B28" s="255"/>
      <c r="C28" s="5" t="s">
        <v>235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300</v>
      </c>
      <c r="B30" s="255">
        <v>35000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11000</v>
      </c>
      <c r="C32" s="5" t="s">
        <v>17</v>
      </c>
    </row>
    <row r="33" spans="1:13" ht="15.25" thickBot="1" x14ac:dyDescent="0.3">
      <c r="A33" s="276" t="s">
        <v>39</v>
      </c>
      <c r="B33" s="255">
        <v>8000</v>
      </c>
      <c r="C33" s="227" t="s">
        <v>258</v>
      </c>
    </row>
    <row r="34" spans="1:13" ht="15.25" thickBot="1" x14ac:dyDescent="0.3">
      <c r="A34" s="8" t="s">
        <v>46</v>
      </c>
      <c r="B34" s="10">
        <f>SUM(B17:B33)</f>
        <v>59700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98</v>
      </c>
      <c r="C38" s="75" t="s">
        <v>40</v>
      </c>
      <c r="D38" s="75" t="s">
        <v>41</v>
      </c>
      <c r="E38" s="76" t="s">
        <v>42</v>
      </c>
      <c r="F38" s="75" t="s">
        <v>91</v>
      </c>
      <c r="G38" s="75" t="s">
        <v>92</v>
      </c>
      <c r="H38" s="75" t="s">
        <v>93</v>
      </c>
      <c r="I38" s="75" t="s">
        <v>94</v>
      </c>
      <c r="J38" s="75" t="s">
        <v>95</v>
      </c>
      <c r="K38" s="75" t="s">
        <v>96</v>
      </c>
      <c r="L38" s="75" t="s">
        <v>97</v>
      </c>
      <c r="M38" s="75" t="s">
        <v>46</v>
      </c>
    </row>
    <row r="39" spans="1:13" ht="15.1" hidden="1" x14ac:dyDescent="0.25">
      <c r="B39" s="115">
        <f>SUM(B17,B19,B21,B25:B31)</f>
        <v>40700</v>
      </c>
      <c r="C39" s="116">
        <f t="shared" ref="C39:C54" si="0">IF(ISERROR($B39/$C$36),0,$B39/$C$36)</f>
        <v>8140</v>
      </c>
      <c r="D39" s="116">
        <f>IF($B39&gt;(SUM(C39:$C39)),IF(ISERROR($B39/$C$36),"",$B39/$C$36),0)</f>
        <v>8140</v>
      </c>
      <c r="E39" s="116">
        <f>IF($B39&gt;(SUM($C39:D39)),IF(ISERROR($B39/$C$36),"",$B39/$C$36),0)</f>
        <v>8140</v>
      </c>
      <c r="F39" s="116">
        <f>IF($B39&gt;(SUM($C39:E39)),IF(ISERROR($B39/$C$36),"",$B39/$C$36),0)</f>
        <v>8140</v>
      </c>
      <c r="G39" s="116">
        <f>IF($B39&gt;(SUM($C39:F39)),IF(ISERROR($B39/$C$36),"",$B39/$C$36),0)</f>
        <v>8140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40700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3000</v>
      </c>
      <c r="C50" s="75">
        <f t="shared" si="0"/>
        <v>600</v>
      </c>
      <c r="D50" s="75">
        <f>IF($B50&gt;(SUM(C50:$C50)),IF(ISERROR($B50/$C$36),"",$B50/$C$36),0)</f>
        <v>600</v>
      </c>
      <c r="E50" s="75">
        <f>IF($B50&gt;(SUM($C50:D50)),IF(ISERROR($B50/$C$36),"",$B50/$C$36),0)</f>
        <v>600</v>
      </c>
      <c r="F50" s="75">
        <f>IF($B50&gt;(SUM($C50:E50)),IF(ISERROR($B50/$C$36),"",$B50/$C$36),0)</f>
        <v>600</v>
      </c>
      <c r="G50" s="75">
        <f>IF($B50&gt;(SUM($C50:F50)),IF(ISERROR($B50/$C$36),"",$B50/$C$36),0)</f>
        <v>600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Matériel, véhicule</v>
      </c>
      <c r="B53" s="114">
        <f t="shared" si="1"/>
        <v>35000</v>
      </c>
      <c r="C53" s="75">
        <f t="shared" si="0"/>
        <v>7000</v>
      </c>
      <c r="D53" s="75">
        <f>IF($B53&gt;(SUM(C53:$C53)),IF(ISERROR($B53/$C$36),"",$B53/$C$36),0)</f>
        <v>7000</v>
      </c>
      <c r="E53" s="75">
        <f>IF($B53&gt;(SUM($C53:D53)),IF(ISERROR($B53/$C$36),"",$B53/$C$36),0)</f>
        <v>7000</v>
      </c>
      <c r="F53" s="75">
        <f>IF($B53&gt;(SUM($C53:E53)),IF(ISERROR($B53/$C$36),"",$B53/$C$36),0)</f>
        <v>7000</v>
      </c>
      <c r="G53" s="75">
        <f>IF($B53&gt;(SUM($C53:F53)),IF(ISERROR($B53/$C$36),"",$B53/$C$36),0)</f>
        <v>7000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58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25000</v>
      </c>
      <c r="C59" s="6"/>
      <c r="F59" s="89"/>
      <c r="G59" s="233"/>
      <c r="H59" s="233"/>
    </row>
    <row r="60" spans="1:13" ht="15.1" customHeight="1" x14ac:dyDescent="0.25">
      <c r="A60" s="276" t="s">
        <v>75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298</v>
      </c>
      <c r="B61" s="255">
        <f>B34-B59</f>
        <v>34700</v>
      </c>
      <c r="C61" s="257">
        <v>0.04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46</v>
      </c>
      <c r="B67" s="10">
        <f>SUM(B59:B66)</f>
        <v>59700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100</v>
      </c>
      <c r="B69" s="8" t="s">
        <v>99</v>
      </c>
      <c r="C69" s="81" t="s">
        <v>171</v>
      </c>
      <c r="D69" s="82" t="s">
        <v>172</v>
      </c>
      <c r="E69" s="8" t="s">
        <v>173</v>
      </c>
      <c r="F69" s="8" t="s">
        <v>101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48</v>
      </c>
      <c r="B70" s="80">
        <f>IF(ISERROR((PMT(C61/12,D61,B61))*-1),0,(PMT(C61/12,D61,B61))*-1)</f>
        <v>474.30757987619768</v>
      </c>
      <c r="C70" s="79">
        <f>B70*D61</f>
        <v>39841.836709600604</v>
      </c>
      <c r="D70" s="82">
        <f>IF(ISERROR(B61/D61),0,B61/D61)</f>
        <v>413.09523809523807</v>
      </c>
      <c r="E70" s="152">
        <f>B70-D70</f>
        <v>61.212341780959605</v>
      </c>
      <c r="F70" s="80">
        <f>E70*D61</f>
        <v>5141.8367096006068</v>
      </c>
      <c r="G70" s="153">
        <f>IF($D61&gt;12,$E70*12,$E70*$D61)</f>
        <v>734.54810137151526</v>
      </c>
      <c r="H70" s="153">
        <f>IF($D61-12&lt;0,0,IF($D61&gt;24,$E70*12,($D61-12)*$E70))</f>
        <v>734.54810137151526</v>
      </c>
      <c r="I70" s="153">
        <f>IF($D61-24&lt;0,0,IF($D61&gt;36,$E70*12,($D61-24)*$E70))</f>
        <v>734.54810137151526</v>
      </c>
      <c r="J70" s="153">
        <f>IF($D61&gt;12,$D70*12,$D70*$D61)</f>
        <v>4957.1428571428569</v>
      </c>
      <c r="K70" s="153">
        <f>IF($D61-12&lt;0,0,IF($D61&gt;24,$D70*12,($D61-12)*$D70))</f>
        <v>4957.1428571428569</v>
      </c>
      <c r="L70" s="153">
        <f>IF($D61-24&lt;0,0,IF($D61&gt;36,$D70*12,($D61-24)*$D70))</f>
        <v>4957.1428571428569</v>
      </c>
    </row>
    <row r="71" spans="1:12" ht="15.1" hidden="1" x14ac:dyDescent="0.25">
      <c r="A71" t="s">
        <v>49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50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59</v>
      </c>
      <c r="H73" s="79"/>
      <c r="I73" s="229">
        <f t="shared" ref="I73:L73" si="17">SUM(I70:I72)</f>
        <v>734.54810137151526</v>
      </c>
      <c r="J73" s="203">
        <f t="shared" si="17"/>
        <v>4957.1428571428569</v>
      </c>
      <c r="K73" s="203">
        <f t="shared" si="17"/>
        <v>4957.1428571428569</v>
      </c>
      <c r="L73" s="203">
        <f t="shared" si="17"/>
        <v>4957.1428571428569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600</v>
      </c>
      <c r="C77" s="260">
        <v>650</v>
      </c>
      <c r="D77" s="261">
        <v>650</v>
      </c>
    </row>
    <row r="78" spans="1:12" ht="15.1" customHeight="1" x14ac:dyDescent="0.25">
      <c r="A78" s="276" t="s">
        <v>21</v>
      </c>
      <c r="B78" s="259">
        <v>500</v>
      </c>
      <c r="C78" s="260">
        <v>520</v>
      </c>
      <c r="D78" s="261">
        <v>540</v>
      </c>
      <c r="G78" s="233"/>
      <c r="H78" s="233"/>
    </row>
    <row r="79" spans="1:12" ht="15.1" customHeight="1" x14ac:dyDescent="0.25">
      <c r="A79" s="276" t="s">
        <v>301</v>
      </c>
      <c r="B79" s="259">
        <v>3200</v>
      </c>
      <c r="C79" s="260">
        <v>3400</v>
      </c>
      <c r="D79" s="261">
        <v>3600</v>
      </c>
      <c r="G79" s="233"/>
      <c r="H79" s="233"/>
    </row>
    <row r="80" spans="1:12" ht="15.1" customHeight="1" x14ac:dyDescent="0.25">
      <c r="A80" s="276" t="s">
        <v>261</v>
      </c>
      <c r="B80" s="259">
        <v>3000</v>
      </c>
      <c r="C80" s="260">
        <v>3500</v>
      </c>
      <c r="D80" s="261">
        <v>4000</v>
      </c>
      <c r="G80" s="233"/>
      <c r="H80" s="233"/>
    </row>
    <row r="81" spans="1:8" ht="15.1" customHeight="1" x14ac:dyDescent="0.25">
      <c r="A81" s="276" t="s">
        <v>22</v>
      </c>
      <c r="B81" s="259">
        <v>1000</v>
      </c>
      <c r="C81" s="260">
        <v>1100</v>
      </c>
      <c r="D81" s="261">
        <v>1200</v>
      </c>
      <c r="G81" s="233"/>
      <c r="H81" s="233"/>
    </row>
    <row r="82" spans="1:8" ht="15.1" customHeight="1" x14ac:dyDescent="0.25">
      <c r="A82" s="276" t="s">
        <v>5</v>
      </c>
      <c r="B82" s="259">
        <v>700</v>
      </c>
      <c r="C82" s="260">
        <v>850</v>
      </c>
      <c r="D82" s="261">
        <v>900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900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550</v>
      </c>
      <c r="D85" s="261">
        <v>600</v>
      </c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44</v>
      </c>
      <c r="B87" s="259">
        <v>2000</v>
      </c>
      <c r="C87" s="260">
        <v>2000</v>
      </c>
      <c r="D87" s="261">
        <v>2000</v>
      </c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3150</v>
      </c>
      <c r="E89" s="5"/>
    </row>
    <row r="90" spans="1:8" x14ac:dyDescent="0.25">
      <c r="A90" s="276" t="s">
        <v>31</v>
      </c>
      <c r="B90" s="259">
        <v>800</v>
      </c>
      <c r="C90" s="260">
        <v>900</v>
      </c>
      <c r="D90" s="261">
        <v>950</v>
      </c>
      <c r="E90" s="5"/>
    </row>
    <row r="91" spans="1:8" x14ac:dyDescent="0.25">
      <c r="A91" s="276" t="s">
        <v>43</v>
      </c>
      <c r="B91" s="259"/>
      <c r="C91" s="260">
        <v>1500</v>
      </c>
      <c r="D91" s="261">
        <v>1600</v>
      </c>
      <c r="E91" s="89" t="s">
        <v>105</v>
      </c>
    </row>
    <row r="92" spans="1:8" x14ac:dyDescent="0.25">
      <c r="A92" s="100" t="s">
        <v>45</v>
      </c>
    </row>
    <row r="93" spans="1:8" x14ac:dyDescent="0.25">
      <c r="A93" s="278"/>
      <c r="B93" s="259"/>
      <c r="C93" s="260"/>
      <c r="D93" s="261"/>
      <c r="E93" s="89" t="s">
        <v>286</v>
      </c>
    </row>
    <row r="94" spans="1:8" x14ac:dyDescent="0.25">
      <c r="A94" s="278"/>
      <c r="B94" s="259"/>
      <c r="C94" s="260"/>
      <c r="D94" s="261"/>
      <c r="E94" s="89" t="s">
        <v>286</v>
      </c>
    </row>
    <row r="95" spans="1:8" x14ac:dyDescent="0.25">
      <c r="A95" s="278"/>
      <c r="B95" s="259"/>
      <c r="C95" s="260"/>
      <c r="D95" s="261"/>
      <c r="E95" s="89" t="s">
        <v>286</v>
      </c>
    </row>
    <row r="96" spans="1:8" ht="6.1" customHeight="1" thickBot="1" x14ac:dyDescent="0.3"/>
    <row r="97" spans="1:9" ht="15.25" thickBot="1" x14ac:dyDescent="0.3">
      <c r="A97" s="8" t="s">
        <v>46</v>
      </c>
      <c r="B97" s="10">
        <f>SUM(B77:B95)</f>
        <v>16800</v>
      </c>
      <c r="C97" s="10">
        <f>SUM(C77:C95)</f>
        <v>19590</v>
      </c>
      <c r="D97" s="10">
        <f>SUM(D77:D95)</f>
        <v>20830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290</v>
      </c>
    </row>
    <row r="101" spans="1:9" x14ac:dyDescent="0.25"/>
    <row r="102" spans="1:9" ht="29.1" x14ac:dyDescent="0.25">
      <c r="A102" s="91" t="s">
        <v>118</v>
      </c>
      <c r="B102" s="11" t="s">
        <v>51</v>
      </c>
      <c r="C102" s="11" t="s">
        <v>52</v>
      </c>
      <c r="D102" s="11" t="s">
        <v>53</v>
      </c>
      <c r="F102" s="204" t="s">
        <v>119</v>
      </c>
      <c r="G102" s="11" t="s">
        <v>51</v>
      </c>
      <c r="H102" s="11" t="s">
        <v>52</v>
      </c>
      <c r="I102" s="11" t="s">
        <v>53</v>
      </c>
    </row>
    <row r="103" spans="1:9" x14ac:dyDescent="0.25">
      <c r="A103" s="280" t="s">
        <v>208</v>
      </c>
      <c r="B103" s="262">
        <v>10</v>
      </c>
      <c r="C103" s="255">
        <v>250</v>
      </c>
      <c r="D103" s="12">
        <f>B103*C103</f>
        <v>2500</v>
      </c>
      <c r="F103" s="281" t="s">
        <v>208</v>
      </c>
      <c r="G103" s="262"/>
      <c r="H103" s="255"/>
      <c r="I103" s="12">
        <f>G103*H103</f>
        <v>0</v>
      </c>
    </row>
    <row r="104" spans="1:9" x14ac:dyDescent="0.25">
      <c r="A104" s="279" t="s">
        <v>209</v>
      </c>
      <c r="B104" s="262">
        <v>18</v>
      </c>
      <c r="C104" s="255">
        <v>320</v>
      </c>
      <c r="D104" s="12">
        <f t="shared" ref="D104:D114" si="18">B104*C104</f>
        <v>5760</v>
      </c>
      <c r="F104" s="282" t="s">
        <v>209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210</v>
      </c>
      <c r="B105" s="262">
        <v>18</v>
      </c>
      <c r="C105" s="255">
        <v>350</v>
      </c>
      <c r="D105" s="12">
        <f t="shared" si="18"/>
        <v>6300</v>
      </c>
      <c r="F105" s="282" t="s">
        <v>210</v>
      </c>
      <c r="G105" s="262"/>
      <c r="H105" s="255"/>
      <c r="I105" s="12">
        <f t="shared" si="19"/>
        <v>0</v>
      </c>
    </row>
    <row r="106" spans="1:9" x14ac:dyDescent="0.25">
      <c r="A106" s="279" t="s">
        <v>215</v>
      </c>
      <c r="B106" s="262">
        <v>18</v>
      </c>
      <c r="C106" s="255">
        <v>370</v>
      </c>
      <c r="D106" s="12">
        <f t="shared" si="18"/>
        <v>6660</v>
      </c>
      <c r="F106" s="282" t="s">
        <v>215</v>
      </c>
      <c r="G106" s="262"/>
      <c r="H106" s="255"/>
      <c r="I106" s="12">
        <f t="shared" si="19"/>
        <v>0</v>
      </c>
    </row>
    <row r="107" spans="1:9" x14ac:dyDescent="0.25">
      <c r="A107" s="279" t="s">
        <v>217</v>
      </c>
      <c r="B107" s="262">
        <v>18</v>
      </c>
      <c r="C107" s="255">
        <v>400</v>
      </c>
      <c r="D107" s="12">
        <f t="shared" si="18"/>
        <v>7200</v>
      </c>
      <c r="F107" s="282" t="s">
        <v>217</v>
      </c>
      <c r="G107" s="262"/>
      <c r="H107" s="255"/>
      <c r="I107" s="12">
        <f t="shared" si="19"/>
        <v>0</v>
      </c>
    </row>
    <row r="108" spans="1:9" x14ac:dyDescent="0.25">
      <c r="A108" s="279" t="s">
        <v>218</v>
      </c>
      <c r="B108" s="262">
        <v>18</v>
      </c>
      <c r="C108" s="255">
        <v>420</v>
      </c>
      <c r="D108" s="12">
        <f t="shared" si="18"/>
        <v>7560</v>
      </c>
      <c r="F108" s="282" t="s">
        <v>218</v>
      </c>
      <c r="G108" s="262"/>
      <c r="H108" s="255"/>
      <c r="I108" s="12">
        <f t="shared" si="19"/>
        <v>0</v>
      </c>
    </row>
    <row r="109" spans="1:9" x14ac:dyDescent="0.25">
      <c r="A109" s="279" t="s">
        <v>219</v>
      </c>
      <c r="B109" s="262">
        <v>18</v>
      </c>
      <c r="C109" s="255">
        <v>420</v>
      </c>
      <c r="D109" s="12">
        <f t="shared" si="18"/>
        <v>7560</v>
      </c>
      <c r="F109" s="282" t="s">
        <v>219</v>
      </c>
      <c r="G109" s="262"/>
      <c r="H109" s="255"/>
      <c r="I109" s="12">
        <f t="shared" si="19"/>
        <v>0</v>
      </c>
    </row>
    <row r="110" spans="1:9" x14ac:dyDescent="0.25">
      <c r="A110" s="279" t="s">
        <v>220</v>
      </c>
      <c r="B110" s="262">
        <v>18</v>
      </c>
      <c r="C110" s="255">
        <v>450</v>
      </c>
      <c r="D110" s="12">
        <f t="shared" si="18"/>
        <v>8100</v>
      </c>
      <c r="F110" s="282" t="s">
        <v>220</v>
      </c>
      <c r="G110" s="262"/>
      <c r="H110" s="255"/>
      <c r="I110" s="12">
        <f t="shared" si="19"/>
        <v>0</v>
      </c>
    </row>
    <row r="111" spans="1:9" x14ac:dyDescent="0.25">
      <c r="A111" s="279" t="s">
        <v>221</v>
      </c>
      <c r="B111" s="262">
        <v>18</v>
      </c>
      <c r="C111" s="255">
        <v>450</v>
      </c>
      <c r="D111" s="12">
        <f t="shared" si="18"/>
        <v>8100</v>
      </c>
      <c r="F111" s="282" t="s">
        <v>221</v>
      </c>
      <c r="G111" s="262"/>
      <c r="H111" s="255"/>
      <c r="I111" s="12">
        <f t="shared" si="19"/>
        <v>0</v>
      </c>
    </row>
    <row r="112" spans="1:9" x14ac:dyDescent="0.25">
      <c r="A112" s="279" t="s">
        <v>222</v>
      </c>
      <c r="B112" s="262">
        <v>18</v>
      </c>
      <c r="C112" s="255">
        <v>450</v>
      </c>
      <c r="D112" s="12">
        <f t="shared" si="18"/>
        <v>8100</v>
      </c>
      <c r="F112" s="282" t="s">
        <v>222</v>
      </c>
      <c r="G112" s="262"/>
      <c r="H112" s="255"/>
      <c r="I112" s="12">
        <f t="shared" si="19"/>
        <v>0</v>
      </c>
    </row>
    <row r="113" spans="1:9" x14ac:dyDescent="0.25">
      <c r="A113" s="279" t="s">
        <v>223</v>
      </c>
      <c r="B113" s="262">
        <v>18</v>
      </c>
      <c r="C113" s="255">
        <v>450</v>
      </c>
      <c r="D113" s="12">
        <f t="shared" si="18"/>
        <v>8100</v>
      </c>
      <c r="F113" s="282" t="s">
        <v>223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224</v>
      </c>
      <c r="B114" s="262">
        <v>10</v>
      </c>
      <c r="C114" s="255">
        <v>420</v>
      </c>
      <c r="D114" s="12">
        <f t="shared" si="18"/>
        <v>4200</v>
      </c>
      <c r="F114" s="282" t="s">
        <v>224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46</v>
      </c>
      <c r="D115" s="13">
        <f>SUM(D103:D114)</f>
        <v>80140</v>
      </c>
      <c r="F115" s="205" t="s">
        <v>46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54</v>
      </c>
      <c r="D117" s="263">
        <v>0.45</v>
      </c>
      <c r="F117" s="206" t="s">
        <v>117</v>
      </c>
      <c r="I117" s="263"/>
    </row>
    <row r="118" spans="1:9" ht="15.95" x14ac:dyDescent="0.3">
      <c r="A118" s="2" t="s">
        <v>55</v>
      </c>
      <c r="D118" s="263">
        <v>0.2</v>
      </c>
      <c r="F118" s="206" t="s">
        <v>116</v>
      </c>
      <c r="I118" s="263"/>
    </row>
    <row r="119" spans="1:9" x14ac:dyDescent="0.25"/>
    <row r="120" spans="1:9" ht="18" x14ac:dyDescent="0.3">
      <c r="A120" s="270" t="s">
        <v>60</v>
      </c>
    </row>
    <row r="121" spans="1:9" ht="47.25" customHeight="1" x14ac:dyDescent="0.25">
      <c r="A121" s="291" t="s">
        <v>56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0.4</v>
      </c>
      <c r="E123" s="160" t="s">
        <v>183</v>
      </c>
    </row>
    <row r="124" spans="1:9" x14ac:dyDescent="0.25">
      <c r="D124" s="285" t="s">
        <v>287</v>
      </c>
    </row>
    <row r="125" spans="1:9" ht="18" x14ac:dyDescent="0.3">
      <c r="A125" s="270" t="s">
        <v>63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288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289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81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250</v>
      </c>
      <c r="B133" s="259"/>
      <c r="C133" s="260"/>
      <c r="D133" s="261"/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25000</v>
      </c>
      <c r="D134" s="261">
        <v>30000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86</v>
      </c>
      <c r="D136" s="94" t="s">
        <v>291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40</v>
      </c>
      <c r="C138" s="9" t="s">
        <v>41</v>
      </c>
      <c r="D138" s="9" t="s">
        <v>42</v>
      </c>
      <c r="F138" s="1" t="s">
        <v>268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88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88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imprimer'!AG11*12.6%</f>
        <v>10097.64</v>
      </c>
      <c r="C140" s="71">
        <f>+'Plan financier à imprimer'!AH11*12.6%</f>
        <v>14641.578</v>
      </c>
      <c r="D140" s="71">
        <f>+'Plan financier à imprimer'!AI11*12.6%</f>
        <v>17569.893599999999</v>
      </c>
      <c r="E140" s="93" t="s">
        <v>130</v>
      </c>
      <c r="F140" t="s">
        <v>1</v>
      </c>
      <c r="G140" s="245">
        <f>+'Plan financier à imprimer'!AG11*6.3%</f>
        <v>5048.82</v>
      </c>
      <c r="H140" s="247">
        <f>+'Plan financier à imprimer'!AH11*12.6%</f>
        <v>14641.578</v>
      </c>
      <c r="I140" s="71">
        <f>+'Plan financier à imprimer'!AI11*12.6%</f>
        <v>17569.893599999999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131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108</v>
      </c>
      <c r="B142" s="71">
        <f>IF('Plan financier à imprimer'!AG52*30%&lt;3456,3456,'Plan financier à imprimer'!AG52*30%)</f>
        <v>6722.8355695885457</v>
      </c>
      <c r="C142" s="71">
        <f>IF('Plan financier à imprimer'!AH52*30%&lt;3456,3456,'Plan financier à imprimer'!AH52*30%)</f>
        <v>12377.17556958854</v>
      </c>
      <c r="D142" s="71">
        <f>IF('Plan financier à imprimer'!AI52*30%&lt;3456,3456,'Plan financier à imprimer'!AI52*30%)</f>
        <v>16188.483569588545</v>
      </c>
      <c r="F142" t="s">
        <v>108</v>
      </c>
      <c r="G142" s="245">
        <v>1305</v>
      </c>
      <c r="H142" s="248">
        <f>IF('Plan financier à imprimer'!AH52*32%&lt;3456,3456,'Plan financier à imprimer'!AH52*32%)</f>
        <v>13202.320607561111</v>
      </c>
      <c r="I142" s="72">
        <f>IF('Plan financier à imprimer'!AI52*32%&lt;3456,3456,'Plan financier à imprimer'!AI52*32%)</f>
        <v>17267.715807561115</v>
      </c>
    </row>
    <row r="143" spans="1:9" ht="15.75" hidden="1" customHeight="1" x14ac:dyDescent="0.25">
      <c r="A143" t="s">
        <v>107</v>
      </c>
      <c r="B143" s="71">
        <f>IF(B134*45%&lt;3456,3456,B134*45%)</f>
        <v>6750</v>
      </c>
      <c r="C143" s="71">
        <f>IF(C134*45%&lt;3456,3456,C134*45%)</f>
        <v>11250</v>
      </c>
      <c r="D143" s="71">
        <f>IF(D134*45%&lt;3456,3456,D134*45%)</f>
        <v>13500</v>
      </c>
      <c r="F143" t="s">
        <v>107</v>
      </c>
      <c r="G143" s="245">
        <v>1305</v>
      </c>
      <c r="H143" s="248">
        <f>IF(C134*45%&lt;3456,3456,C134*45%)</f>
        <v>11250</v>
      </c>
      <c r="I143" s="72">
        <f>IF(D134*45%&lt;3456,3456,D134*45%)</f>
        <v>13500</v>
      </c>
    </row>
    <row r="144" spans="1:9" ht="15.1" hidden="1" x14ac:dyDescent="0.25">
      <c r="A144" t="s">
        <v>109</v>
      </c>
      <c r="B144" s="71">
        <f>IF(B134*45%&lt;3456,3456,B134*45%)</f>
        <v>6750</v>
      </c>
      <c r="C144" s="71">
        <f>IF(C134*45%&lt;3456,3456,C134*45%)</f>
        <v>11250</v>
      </c>
      <c r="D144" s="71">
        <f>IF(D134*45%&lt;3456,3456,D134*45%)</f>
        <v>13500</v>
      </c>
      <c r="F144" t="s">
        <v>109</v>
      </c>
      <c r="G144" s="245">
        <v>1305</v>
      </c>
      <c r="H144" s="248">
        <f>IF(C134*45%&lt;3456,3456,C134*45%)</f>
        <v>11250</v>
      </c>
      <c r="I144" s="72">
        <f>IF(D134*45%&lt;3456,3456,D134*45%)</f>
        <v>13500</v>
      </c>
    </row>
    <row r="145" spans="1:9" ht="15.1" hidden="1" x14ac:dyDescent="0.25">
      <c r="A145" t="s">
        <v>110</v>
      </c>
      <c r="B145" s="71">
        <f>B134*70%</f>
        <v>10500</v>
      </c>
      <c r="C145" s="71">
        <f t="shared" ref="C145:D145" si="20">C134*70%</f>
        <v>17500</v>
      </c>
      <c r="D145" s="71">
        <f t="shared" si="20"/>
        <v>21000</v>
      </c>
      <c r="F145" t="s">
        <v>110</v>
      </c>
      <c r="G145" s="245">
        <f>B134*33%</f>
        <v>4950</v>
      </c>
      <c r="H145" s="245">
        <f>C134*70%</f>
        <v>17500</v>
      </c>
      <c r="I145" s="245">
        <f>D134*70%</f>
        <v>21000</v>
      </c>
    </row>
    <row r="146" spans="1:9" ht="15.1" hidden="1" x14ac:dyDescent="0.25">
      <c r="A146" t="s">
        <v>111</v>
      </c>
      <c r="B146" s="71">
        <f>B134*70%</f>
        <v>10500</v>
      </c>
      <c r="C146" s="71">
        <f t="shared" ref="C146:D146" si="21">C134*70%</f>
        <v>17500</v>
      </c>
      <c r="D146" s="71">
        <f t="shared" si="21"/>
        <v>21000</v>
      </c>
      <c r="F146" t="s">
        <v>111</v>
      </c>
      <c r="G146" s="245">
        <f>B134*33%</f>
        <v>4950</v>
      </c>
      <c r="H146" s="245">
        <f>C134*70%</f>
        <v>17500</v>
      </c>
      <c r="I146" s="245">
        <f>D134*70%</f>
        <v>21000</v>
      </c>
    </row>
    <row r="147" spans="1:9" ht="15.1" hidden="1" x14ac:dyDescent="0.25">
      <c r="A147" s="1" t="s">
        <v>106</v>
      </c>
      <c r="B147" s="73">
        <f>SUMIF($A$140:$A$146,$B$8,B140:B146)</f>
        <v>10500</v>
      </c>
      <c r="C147" s="73">
        <f>SUMIF($A$140:$A$146,$B$8,C140:C146)</f>
        <v>17500</v>
      </c>
      <c r="D147" s="73">
        <f>SUMIF($A$140:$A$146,$B$8,D140:D146)</f>
        <v>21000</v>
      </c>
      <c r="F147" s="1" t="s">
        <v>106</v>
      </c>
      <c r="G147" s="245">
        <f>SUMIF($A$140:$A$146,$B$8,G140:G146)</f>
        <v>4950</v>
      </c>
      <c r="H147" s="246">
        <f>SUMIF($A$140:$A$146,$B$8,H140:H146)</f>
        <v>17500</v>
      </c>
      <c r="I147" s="246">
        <f>SUMIF($A$140:$A$146,$B$8,I140:I146)</f>
        <v>21000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292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61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293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62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7/5gfwrw838j6bOfRVF9QOH9kGLvZcwFyhrHPxUFuLlbdFag514CAThxDEcvXcERsTGb02tc7Hhwf9JA2lxg7Q==" saltValue="3VewIQDqoghXflWzGDhpZ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77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64</v>
      </c>
      <c r="F6" s="333"/>
      <c r="G6" s="333"/>
      <c r="H6" s="27"/>
      <c r="K6" s="1" t="s">
        <v>66</v>
      </c>
      <c r="M6" s="3" t="str">
        <f>IF(ISBLANK('Données à saisir'!$B7),"",('Données à saisir'!$B7))</f>
        <v>Vente sur les marchés</v>
      </c>
      <c r="T6" s="1" t="s">
        <v>66</v>
      </c>
      <c r="V6" s="3" t="str">
        <f>IF(ISBLANK('Données à saisir'!$B7),"",('Données à saisir'!$B7))</f>
        <v>Vente sur les marchés</v>
      </c>
      <c r="AC6" s="1" t="s">
        <v>66</v>
      </c>
      <c r="AE6" s="3" t="str">
        <f>IF(ISBLANK('Données à saisir'!$B7),"",('Données à saisir'!$B7))</f>
        <v>Vente sur les marchés</v>
      </c>
      <c r="AL6" s="1" t="s">
        <v>66</v>
      </c>
      <c r="AN6" s="3" t="str">
        <f>IF(ISBLANK('Données à saisir'!$B7),"",('Données à saisir'!$B7))</f>
        <v>Vente sur les marchés</v>
      </c>
      <c r="AW6" s="1" t="s">
        <v>66</v>
      </c>
      <c r="AY6" s="3" t="str">
        <f>IF(ISBLANK('Données à saisir'!$B7),"",('Données à saisir'!$B7))</f>
        <v>Vente sur les marchés</v>
      </c>
      <c r="BF6" s="1" t="s">
        <v>66</v>
      </c>
      <c r="BH6" s="3" t="str">
        <f>IF(ISBLANK('Données à saisir'!$B7),"",('Données à saisir'!$B7))</f>
        <v>Vente sur les marchés</v>
      </c>
      <c r="BO6" s="1" t="s">
        <v>66</v>
      </c>
      <c r="BQ6" s="3" t="str">
        <f>IF(ISBLANK('Données à saisir'!$B7),"",('Données à saisir'!$B7))</f>
        <v>Vente sur les marchés</v>
      </c>
      <c r="BV6" s="193" t="s">
        <v>214</v>
      </c>
      <c r="BY6" s="1" t="s">
        <v>66</v>
      </c>
      <c r="CA6" s="3" t="str">
        <f>IF(ISBLANK('Données à saisir'!$B7),"",('Données à saisir'!$B7))</f>
        <v>Vente sur les marchés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67</v>
      </c>
      <c r="M7" s="3" t="str">
        <f>IF(ISBLANK('Données à saisir'!$B6),"",('Données à saisir'!$B6))</f>
        <v/>
      </c>
      <c r="T7" s="1" t="s">
        <v>67</v>
      </c>
      <c r="V7" s="3" t="str">
        <f>IF(ISBLANK('Données à saisir'!$B6),"",('Données à saisir'!$B6))</f>
        <v/>
      </c>
      <c r="AC7" s="1" t="s">
        <v>67</v>
      </c>
      <c r="AE7" s="3" t="str">
        <f>IF(ISBLANK('Données à saisir'!$B6),"",('Données à saisir'!$B6))</f>
        <v/>
      </c>
      <c r="AL7" s="1" t="s">
        <v>67</v>
      </c>
      <c r="AN7" s="3" t="str">
        <f>IF(ISBLANK('Données à saisir'!$B6),"",('Données à saisir'!$B6))</f>
        <v/>
      </c>
      <c r="AW7" s="1" t="s">
        <v>67</v>
      </c>
      <c r="AY7" s="3" t="str">
        <f>IF(ISBLANK('Données à saisir'!$B6),"",('Données à saisir'!$B6))</f>
        <v/>
      </c>
      <c r="BF7" s="1" t="s">
        <v>67</v>
      </c>
      <c r="BH7" s="3" t="str">
        <f>IF(ISBLANK('Données à saisir'!$B6),"",('Données à saisir'!$B6))</f>
        <v/>
      </c>
      <c r="BO7" s="1" t="s">
        <v>67</v>
      </c>
      <c r="BQ7" s="3" t="str">
        <f>IF(ISBLANK('Données à saisir'!$B6),"",('Données à saisir'!$B6))</f>
        <v/>
      </c>
      <c r="BY7" s="1" t="s">
        <v>67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72</v>
      </c>
      <c r="U9" s="1" t="s">
        <v>139</v>
      </c>
      <c r="X9" t="str">
        <f>C33</f>
        <v>SASU (IS)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80140</v>
      </c>
      <c r="AH10" s="60">
        <f t="shared" ref="AH10:AI10" si="0">SUM(AH11:AH12)</f>
        <v>116203</v>
      </c>
      <c r="AI10" s="226">
        <f t="shared" si="0"/>
        <v>139443.6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80140</v>
      </c>
      <c r="AH11" s="62">
        <f>AG11+AG11*'Données à saisir'!D117</f>
        <v>116203</v>
      </c>
      <c r="AI11" s="54">
        <f>AH11+AH11*'Données à saisir'!D118</f>
        <v>139443.6</v>
      </c>
      <c r="AO11" s="315" t="s">
        <v>40</v>
      </c>
      <c r="AP11" s="305" t="s">
        <v>164</v>
      </c>
      <c r="AQ11" s="305" t="s">
        <v>41</v>
      </c>
      <c r="AR11" s="305" t="s">
        <v>164</v>
      </c>
      <c r="AS11" s="305" t="s">
        <v>42</v>
      </c>
      <c r="AT11" s="317" t="s">
        <v>164</v>
      </c>
      <c r="AW11" s="51" t="s">
        <v>192</v>
      </c>
      <c r="AX11" s="52"/>
      <c r="AY11" s="52"/>
      <c r="AZ11" s="52"/>
      <c r="BA11" s="60">
        <f>AG10</f>
        <v>80140</v>
      </c>
      <c r="BB11" s="60">
        <f>AH10</f>
        <v>116203</v>
      </c>
      <c r="BC11" s="226">
        <f>AI10</f>
        <v>139443.6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71</v>
      </c>
      <c r="Q12" s="41">
        <f>SUM(Q13:Q22)</f>
        <v>1200</v>
      </c>
      <c r="AC12" s="44" t="s">
        <v>122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78</v>
      </c>
      <c r="BA12" s="104">
        <f>AO15</f>
        <v>32056</v>
      </c>
      <c r="BB12" s="104">
        <f>AQ15</f>
        <v>46481.200000000004</v>
      </c>
      <c r="BC12" s="120">
        <f>AS15</f>
        <v>55777.440000000002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40</v>
      </c>
      <c r="Y13" s="87" t="s">
        <v>41</v>
      </c>
      <c r="Z13" s="83" t="s">
        <v>42</v>
      </c>
      <c r="AC13" s="37" t="s">
        <v>124</v>
      </c>
      <c r="AG13" s="57">
        <f>AG14</f>
        <v>32056</v>
      </c>
      <c r="AH13" s="57">
        <f>AH14</f>
        <v>46481.200000000004</v>
      </c>
      <c r="AI13" s="53">
        <f>AI14</f>
        <v>55777.440000000002</v>
      </c>
      <c r="AL13" s="107" t="s">
        <v>151</v>
      </c>
      <c r="AM13" s="34"/>
      <c r="AN13" s="34"/>
      <c r="AO13" s="119">
        <f>AG10</f>
        <v>80140</v>
      </c>
      <c r="AP13" s="139">
        <v>1</v>
      </c>
      <c r="AQ13" s="119">
        <f>AH10</f>
        <v>116203</v>
      </c>
      <c r="AR13" s="140">
        <v>1</v>
      </c>
      <c r="AS13" s="119">
        <f>AI10</f>
        <v>139443.6</v>
      </c>
      <c r="AT13" s="141">
        <v>1</v>
      </c>
      <c r="AW13" s="123" t="s">
        <v>175</v>
      </c>
      <c r="BA13" s="104">
        <f>BA12</f>
        <v>32056</v>
      </c>
      <c r="BB13" s="104">
        <f t="shared" ref="BB13:BC13" si="1">BB12</f>
        <v>46481.200000000004</v>
      </c>
      <c r="BC13" s="120">
        <f t="shared" si="1"/>
        <v>55777.440000000002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46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78</v>
      </c>
      <c r="AG14" s="62">
        <f>'Données à saisir'!$D$123*'Plan financier à imprimer'!AG11</f>
        <v>32056</v>
      </c>
      <c r="AH14" s="62">
        <f>'Données à saisir'!$D$123*'Plan financier à imprimer'!AH11</f>
        <v>46481.200000000004</v>
      </c>
      <c r="AI14" s="54">
        <f>'Données à saisir'!$D$123*'Plan financier à imprimer'!AI11</f>
        <v>55777.440000000002</v>
      </c>
      <c r="AL14" s="38" t="s">
        <v>152</v>
      </c>
      <c r="AO14" s="104">
        <f>AG10</f>
        <v>80140</v>
      </c>
      <c r="AP14" s="142">
        <v>1</v>
      </c>
      <c r="AQ14" s="104">
        <f>AH10</f>
        <v>116203</v>
      </c>
      <c r="AR14" s="143">
        <v>1</v>
      </c>
      <c r="AS14" s="104">
        <f>AI10</f>
        <v>139443.6</v>
      </c>
      <c r="AT14" s="144">
        <v>1</v>
      </c>
      <c r="AW14" s="123" t="s">
        <v>176</v>
      </c>
      <c r="BA14" s="57">
        <f>BA11-BA13</f>
        <v>48084</v>
      </c>
      <c r="BB14" s="57">
        <f t="shared" ref="BB14:BC14" si="2">BB11-BB13</f>
        <v>69721.799999999988</v>
      </c>
      <c r="BC14" s="53">
        <f t="shared" si="2"/>
        <v>83666.16</v>
      </c>
      <c r="BF14" s="186" t="s">
        <v>199</v>
      </c>
      <c r="BG14" s="52"/>
      <c r="BH14" s="52"/>
      <c r="BI14" s="52"/>
      <c r="BJ14" s="187">
        <f>Q12+Q23</f>
        <v>40700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25000</v>
      </c>
      <c r="Z15" s="61">
        <f>'Données à saisir'!D134</f>
        <v>30000</v>
      </c>
      <c r="AC15" s="67"/>
      <c r="AG15" s="62"/>
      <c r="AH15" s="62"/>
      <c r="AI15" s="69"/>
      <c r="AL15" s="70" t="s">
        <v>78</v>
      </c>
      <c r="AO15" s="104">
        <f>AG14</f>
        <v>32056</v>
      </c>
      <c r="AP15" s="145">
        <f>AO15/$AO$14</f>
        <v>0.4</v>
      </c>
      <c r="AQ15" s="104">
        <f>AH14</f>
        <v>46481.200000000004</v>
      </c>
      <c r="AR15" s="145">
        <f>AQ15/$AQ$14</f>
        <v>0.4</v>
      </c>
      <c r="AS15" s="104">
        <f>AI14</f>
        <v>55777.440000000002</v>
      </c>
      <c r="AT15" s="146">
        <f>AS15/$AS$14</f>
        <v>0.4</v>
      </c>
      <c r="AW15" s="63" t="s">
        <v>193</v>
      </c>
      <c r="AX15" s="64"/>
      <c r="AY15" s="64"/>
      <c r="AZ15" s="64"/>
      <c r="BA15" s="154">
        <f>IF(ISERROR(BA14/BA11),0,BA14/BA11)</f>
        <v>0.6</v>
      </c>
      <c r="BB15" s="154">
        <f t="shared" ref="BB15:BC15" si="3">IF(ISERROR(BB14/BB11),0,BB14/BB11)</f>
        <v>0.59999999999999987</v>
      </c>
      <c r="BC15" s="158">
        <f t="shared" si="3"/>
        <v>0.6</v>
      </c>
      <c r="BF15" s="123" t="s">
        <v>264</v>
      </c>
      <c r="BJ15" s="104">
        <f>Q30</f>
        <v>11000</v>
      </c>
      <c r="BK15" s="104"/>
      <c r="BL15" s="120"/>
      <c r="BO15" s="192" t="s">
        <v>200</v>
      </c>
      <c r="BP15" s="52"/>
      <c r="BQ15" s="52"/>
      <c r="BR15" s="187">
        <f>BJ19</f>
        <v>25000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25000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0.66666666666666663</v>
      </c>
      <c r="Z16" s="103">
        <f>IF(ISERROR((Z15-Y15)/Y15),"",(Z15-Y15)/Y15)</f>
        <v>0.2</v>
      </c>
      <c r="AC16" s="63" t="s">
        <v>125</v>
      </c>
      <c r="AD16" s="64"/>
      <c r="AE16" s="64"/>
      <c r="AF16" s="64"/>
      <c r="AG16" s="65">
        <f>AG10-AG13</f>
        <v>48084</v>
      </c>
      <c r="AH16" s="65">
        <f>AH10-AH13</f>
        <v>69721.799999999988</v>
      </c>
      <c r="AI16" s="66">
        <f>AI10-AI13</f>
        <v>83666.16</v>
      </c>
      <c r="AL16" s="63" t="s">
        <v>154</v>
      </c>
      <c r="AM16" s="64"/>
      <c r="AN16" s="64"/>
      <c r="AO16" s="65">
        <f>AO14-AO15</f>
        <v>48084</v>
      </c>
      <c r="AP16" s="147">
        <f t="shared" ref="AP16:AP28" si="5">AO16/$AO$14</f>
        <v>0.6</v>
      </c>
      <c r="AQ16" s="65">
        <f t="shared" ref="AQ16:AS16" si="6">AQ14-AQ15</f>
        <v>69721.799999999988</v>
      </c>
      <c r="AR16" s="148">
        <f t="shared" ref="AR16:AR28" si="7">AQ16/$AQ$14</f>
        <v>0.59999999999999987</v>
      </c>
      <c r="AS16" s="65">
        <f t="shared" si="6"/>
        <v>83666.16</v>
      </c>
      <c r="AT16" s="150">
        <f t="shared" ref="AT16:AT28" si="8">AS16/$AS$14</f>
        <v>0.6</v>
      </c>
      <c r="AW16" s="123" t="s">
        <v>177</v>
      </c>
      <c r="BA16" s="104">
        <f>SUM(AO17,AO19,AO20,AO22,AO24)</f>
        <v>45624.548101371518</v>
      </c>
      <c r="BB16" s="104">
        <f>SUM(AQ17,AQ19,AQ20,AQ22,AQ24)</f>
        <v>70964.548101371518</v>
      </c>
      <c r="BC16" s="159">
        <f>SUM(AS17,AS19,AS20,AS22,AS24)</f>
        <v>80704.548101371518</v>
      </c>
      <c r="BF16" s="123" t="s">
        <v>197</v>
      </c>
      <c r="BJ16" s="104">
        <f>BA39</f>
        <v>-2634.739726027397</v>
      </c>
      <c r="BK16" s="104">
        <f>BB39-BA39</f>
        <v>-1185.6328767123296</v>
      </c>
      <c r="BL16" s="120">
        <f>+BC39-BB39</f>
        <v>-764.07452054794476</v>
      </c>
      <c r="BO16" s="123" t="s">
        <v>201</v>
      </c>
      <c r="BR16" s="104">
        <f>BJ20</f>
        <v>34700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34700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4950</v>
      </c>
      <c r="Y17" s="57">
        <f>AH40</f>
        <v>17500</v>
      </c>
      <c r="Z17" s="53">
        <f>AI40</f>
        <v>21000</v>
      </c>
      <c r="AC17" s="37" t="s">
        <v>126</v>
      </c>
      <c r="AG17" s="57">
        <f>SUM(AG18:AG33)</f>
        <v>16000</v>
      </c>
      <c r="AH17" s="57">
        <f>SUM(AH18:AH33)</f>
        <v>17190</v>
      </c>
      <c r="AI17" s="68">
        <f>SUM(AI18:AI33)</f>
        <v>18280</v>
      </c>
      <c r="AL17" s="70" t="s">
        <v>79</v>
      </c>
      <c r="AO17" s="104">
        <f>AG17</f>
        <v>16000</v>
      </c>
      <c r="AP17" s="145">
        <f t="shared" si="5"/>
        <v>0.19965061142999752</v>
      </c>
      <c r="AQ17" s="104">
        <f>AH17</f>
        <v>17190</v>
      </c>
      <c r="AR17" s="149">
        <f t="shared" si="7"/>
        <v>0.14793077631386453</v>
      </c>
      <c r="AS17" s="104">
        <f>AI17</f>
        <v>18280</v>
      </c>
      <c r="AT17" s="146">
        <f t="shared" si="8"/>
        <v>0.13109242733262766</v>
      </c>
      <c r="AW17" s="63" t="s">
        <v>194</v>
      </c>
      <c r="AX17" s="64"/>
      <c r="AY17" s="64"/>
      <c r="AZ17" s="64"/>
      <c r="BA17" s="65">
        <f>BA12+BA16</f>
        <v>77680.548101371518</v>
      </c>
      <c r="BB17" s="65">
        <f t="shared" ref="BB17:BC17" si="9">BB12+BB16</f>
        <v>117445.74810137152</v>
      </c>
      <c r="BC17" s="66">
        <f t="shared" si="9"/>
        <v>136481.98810137151</v>
      </c>
      <c r="BF17" s="123" t="s">
        <v>198</v>
      </c>
      <c r="BJ17" s="104">
        <f>AO45</f>
        <v>4957.1428571428569</v>
      </c>
      <c r="BK17" s="104">
        <f>AQ45</f>
        <v>4957.1428571428569</v>
      </c>
      <c r="BL17" s="120">
        <f>AS45</f>
        <v>4957.1428571428569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600</v>
      </c>
      <c r="AH18" s="62">
        <f>IF(ISBLANK('Données à saisir'!C77),0,'Données à saisir'!C77)</f>
        <v>650</v>
      </c>
      <c r="AI18" s="54">
        <f>IF(ISBLANK('Données à saisir'!D77),0,'Données à saisir'!D77)</f>
        <v>650</v>
      </c>
      <c r="AL18" s="63" t="s">
        <v>127</v>
      </c>
      <c r="AM18" s="64"/>
      <c r="AN18" s="64"/>
      <c r="AO18" s="65">
        <f>AO16-AO17</f>
        <v>32084</v>
      </c>
      <c r="AP18" s="147">
        <f t="shared" si="5"/>
        <v>0.40034938857000252</v>
      </c>
      <c r="AQ18" s="65">
        <f t="shared" ref="AQ18:AS18" si="10">AQ16-AQ17</f>
        <v>52531.799999999988</v>
      </c>
      <c r="AR18" s="148">
        <f t="shared" si="7"/>
        <v>0.45206922368613539</v>
      </c>
      <c r="AS18" s="65">
        <f t="shared" si="10"/>
        <v>65386.16</v>
      </c>
      <c r="AT18" s="150">
        <f t="shared" si="8"/>
        <v>0.46890757266737232</v>
      </c>
      <c r="AW18" s="123" t="s">
        <v>178</v>
      </c>
      <c r="BA18" s="104">
        <f>AG44</f>
        <v>2459.4518986284857</v>
      </c>
      <c r="BB18" s="104">
        <f>AH44</f>
        <v>-1242.7481013715269</v>
      </c>
      <c r="BC18" s="159">
        <f>AI44</f>
        <v>2961.6118986284891</v>
      </c>
      <c r="BF18" s="63" t="s">
        <v>196</v>
      </c>
      <c r="BG18" s="64"/>
      <c r="BH18" s="64"/>
      <c r="BI18" s="64"/>
      <c r="BJ18" s="188">
        <f>SUM(BJ14:BJ17)</f>
        <v>54022.403131115461</v>
      </c>
      <c r="BK18" s="189">
        <f>SUM(BK14:BK17)</f>
        <v>3771.5099804305273</v>
      </c>
      <c r="BL18" s="190">
        <f>SUM(BL14:BL17)</f>
        <v>4193.0683365949117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500</v>
      </c>
      <c r="AH19" s="62">
        <f>IF(ISBLANK('Données à saisir'!C78),0,'Données à saisir'!C78)</f>
        <v>520</v>
      </c>
      <c r="AI19" s="54">
        <f>IF(ISBLANK('Données à saisir'!D78),0,'Données à saisir'!D78)</f>
        <v>540</v>
      </c>
      <c r="AL19" s="38" t="s">
        <v>80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1.2908444704525701E-2</v>
      </c>
      <c r="AS19" s="104">
        <f>AI36</f>
        <v>1600</v>
      </c>
      <c r="AT19" s="146">
        <f t="shared" si="8"/>
        <v>1.1474173070689511E-2</v>
      </c>
      <c r="AW19" s="63" t="s">
        <v>195</v>
      </c>
      <c r="AX19" s="64"/>
      <c r="AY19" s="64"/>
      <c r="AZ19" s="64"/>
      <c r="BA19" s="65">
        <f>IF(ISERROR(BA16/BA15),0,BA16/BA15)</f>
        <v>76040.913502285868</v>
      </c>
      <c r="BB19" s="65">
        <f t="shared" ref="BB19:BC19" si="11">IF(ISERROR(BB16/BB15),0,BB16/BB15)</f>
        <v>118274.24683561923</v>
      </c>
      <c r="BC19" s="66">
        <f t="shared" si="11"/>
        <v>134507.58016895253</v>
      </c>
      <c r="BF19" s="123" t="s">
        <v>200</v>
      </c>
      <c r="BJ19" s="104">
        <f>Q37</f>
        <v>25000</v>
      </c>
      <c r="BK19" s="104"/>
      <c r="BL19" s="159"/>
      <c r="BO19" s="192" t="s">
        <v>211</v>
      </c>
      <c r="BP19" s="34"/>
      <c r="BQ19" s="34"/>
      <c r="BR19" s="119">
        <f>'Données à saisir'!D103</f>
        <v>2500</v>
      </c>
      <c r="BS19" s="119">
        <f>'Données à saisir'!D104</f>
        <v>5760</v>
      </c>
      <c r="BT19" s="119">
        <f>'Données à saisir'!D105</f>
        <v>6300</v>
      </c>
      <c r="BU19" s="119">
        <f>'Données à saisir'!D106</f>
        <v>6660</v>
      </c>
      <c r="BV19" s="209">
        <f>'Données à saisir'!D107</f>
        <v>7200</v>
      </c>
      <c r="BY19" s="210">
        <f>'Données à saisir'!D108</f>
        <v>7560</v>
      </c>
      <c r="BZ19" s="119">
        <f>'Données à saisir'!D109</f>
        <v>7560</v>
      </c>
      <c r="CA19" s="119">
        <f>'Données à saisir'!D110</f>
        <v>8100</v>
      </c>
      <c r="CB19" s="119">
        <f>'Données à saisir'!D111</f>
        <v>8100</v>
      </c>
      <c r="CC19" s="119">
        <f>'Données à saisir'!D112</f>
        <v>8100</v>
      </c>
      <c r="CD19" s="119">
        <f>'Données à saisir'!D113</f>
        <v>8100</v>
      </c>
      <c r="CE19" s="211">
        <f>'Données à saisir'!D114</f>
        <v>4200</v>
      </c>
      <c r="CF19" s="213">
        <f>SUM(BR19:CE19)</f>
        <v>80140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140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Droits de place</v>
      </c>
      <c r="AG20" s="62">
        <f>IF(ISBLANK('Données à saisir'!B79),0,'Données à saisir'!B79)</f>
        <v>3200</v>
      </c>
      <c r="AH20" s="62">
        <f>IF(ISBLANK('Données à saisir'!C79),0,'Données à saisir'!C79)</f>
        <v>3400</v>
      </c>
      <c r="AI20" s="54">
        <f>IF(ISBLANK('Données à saisir'!D79),0,'Données à saisir'!D79)</f>
        <v>3600</v>
      </c>
      <c r="AL20" s="38" t="s">
        <v>153</v>
      </c>
      <c r="AM20" s="1"/>
      <c r="AN20" s="1"/>
      <c r="AO20" s="104">
        <f>SUM(AG37:AG40)</f>
        <v>19950</v>
      </c>
      <c r="AP20" s="145">
        <f t="shared" si="5"/>
        <v>0.24893935612677814</v>
      </c>
      <c r="AQ20" s="104">
        <f>SUM(AH37:AH40)</f>
        <v>42500</v>
      </c>
      <c r="AR20" s="149">
        <f t="shared" si="7"/>
        <v>0.3657392666282282</v>
      </c>
      <c r="AS20" s="104">
        <f>SUM(AI37:AI40)</f>
        <v>51000</v>
      </c>
      <c r="AT20" s="146">
        <f t="shared" si="8"/>
        <v>0.3657392666282282</v>
      </c>
      <c r="AW20" s="123" t="s">
        <v>179</v>
      </c>
      <c r="BA20" s="104">
        <f>BA11-BA19</f>
        <v>4099.0864977141318</v>
      </c>
      <c r="BB20" s="104">
        <f t="shared" ref="BB20:BC20" si="12">BB11-BB19</f>
        <v>-2071.2468356192257</v>
      </c>
      <c r="BC20" s="120">
        <f t="shared" si="12"/>
        <v>4936.0198310474807</v>
      </c>
      <c r="BF20" s="123" t="s">
        <v>201</v>
      </c>
      <c r="BJ20" s="104">
        <f>Q40</f>
        <v>34700</v>
      </c>
      <c r="BK20" s="104"/>
      <c r="BL20" s="159"/>
      <c r="BO20" s="123" t="s">
        <v>212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3000</v>
      </c>
      <c r="AH21" s="62">
        <f>IF(ISBLANK('Données à saisir'!C80),0,'Données à saisir'!C80)</f>
        <v>3500</v>
      </c>
      <c r="AI21" s="54">
        <f>IF(ISBLANK('Données à saisir'!D80),0,'Données à saisir'!D80)</f>
        <v>4000</v>
      </c>
      <c r="AL21" s="63" t="s">
        <v>128</v>
      </c>
      <c r="AM21" s="64"/>
      <c r="AN21" s="64"/>
      <c r="AO21" s="65">
        <f>AO18-AO19-AO20</f>
        <v>12134</v>
      </c>
      <c r="AP21" s="147">
        <f t="shared" si="5"/>
        <v>0.15141003244322435</v>
      </c>
      <c r="AQ21" s="65">
        <f t="shared" ref="AQ21:AS21" si="14">AQ18-AQ19-AQ20</f>
        <v>8531.7999999999884</v>
      </c>
      <c r="AR21" s="148">
        <f t="shared" si="7"/>
        <v>7.3421512353381485E-2</v>
      </c>
      <c r="AS21" s="65">
        <f t="shared" si="14"/>
        <v>12786.160000000003</v>
      </c>
      <c r="AT21" s="150">
        <f t="shared" si="8"/>
        <v>9.1694132968454647E-2</v>
      </c>
      <c r="AW21" s="208" t="s">
        <v>180</v>
      </c>
      <c r="AX21" s="36"/>
      <c r="AY21" s="36"/>
      <c r="AZ21" s="36"/>
      <c r="BA21" s="156">
        <f>BA19/250</f>
        <v>304.1636540091435</v>
      </c>
      <c r="BB21" s="156">
        <f t="shared" ref="BB21:BC21" si="15">BB19/250</f>
        <v>473.09698734247689</v>
      </c>
      <c r="BC21" s="157">
        <f t="shared" si="15"/>
        <v>538.03032067581012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2500</v>
      </c>
      <c r="BS21" s="65">
        <f t="shared" ref="BS21:BV21" si="16">SUM(BS19:BS20)</f>
        <v>5760</v>
      </c>
      <c r="BT21" s="65">
        <f t="shared" si="16"/>
        <v>6300</v>
      </c>
      <c r="BU21" s="65">
        <f t="shared" si="16"/>
        <v>6660</v>
      </c>
      <c r="BV21" s="66">
        <f t="shared" si="16"/>
        <v>7200</v>
      </c>
      <c r="BY21" s="197">
        <f t="shared" ref="BY21:CE21" si="17">SUM(BY19:BY20)</f>
        <v>7560</v>
      </c>
      <c r="BZ21" s="65">
        <f t="shared" si="17"/>
        <v>7560</v>
      </c>
      <c r="CA21" s="65">
        <f t="shared" si="17"/>
        <v>8100</v>
      </c>
      <c r="CB21" s="65">
        <f t="shared" si="17"/>
        <v>8100</v>
      </c>
      <c r="CC21" s="65">
        <f t="shared" si="17"/>
        <v>8100</v>
      </c>
      <c r="CD21" s="65">
        <f t="shared" si="17"/>
        <v>8100</v>
      </c>
      <c r="CE21" s="131">
        <f t="shared" si="17"/>
        <v>4200</v>
      </c>
      <c r="CF21" s="200">
        <f t="shared" si="13"/>
        <v>80140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1000</v>
      </c>
      <c r="AH22" s="62">
        <f>IF(ISBLANK('Données à saisir'!C81),0,'Données à saisir'!C81)</f>
        <v>1100</v>
      </c>
      <c r="AI22" s="54">
        <f>IF(ISBLANK('Données à saisir'!D81),0,'Données à saisir'!D81)</f>
        <v>1200</v>
      </c>
      <c r="AL22" s="38" t="s">
        <v>155</v>
      </c>
      <c r="AO22" s="104">
        <f>AG43</f>
        <v>8140</v>
      </c>
      <c r="AP22" s="145">
        <f t="shared" si="5"/>
        <v>0.10157224856501124</v>
      </c>
      <c r="AQ22" s="104">
        <f>AH43</f>
        <v>8140</v>
      </c>
      <c r="AR22" s="149">
        <f t="shared" si="7"/>
        <v>7.0049826596559464E-2</v>
      </c>
      <c r="AS22" s="104">
        <f>AI43</f>
        <v>8140</v>
      </c>
      <c r="AT22" s="146">
        <f t="shared" si="8"/>
        <v>5.8374855497132887E-2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71</v>
      </c>
      <c r="BR22" s="104">
        <f>Q12</f>
        <v>1200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1200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68</v>
      </c>
      <c r="Q23" s="41">
        <f>SUM(Q24:Q28)</f>
        <v>39500</v>
      </c>
      <c r="AC23" s="44" t="str">
        <f>'Données à saisir'!A82</f>
        <v>Eau, électricité, gaz</v>
      </c>
      <c r="AG23" s="62">
        <f>IF(ISBLANK('Données à saisir'!B82),0,'Données à saisir'!B82)</f>
        <v>700</v>
      </c>
      <c r="AH23" s="62">
        <f>IF(ISBLANK('Données à saisir'!C82),0,'Données à saisir'!C82)</f>
        <v>850</v>
      </c>
      <c r="AI23" s="54">
        <f>IF(ISBLANK('Données à saisir'!D82),0,'Données à saisir'!D82)</f>
        <v>900</v>
      </c>
      <c r="AL23" s="63" t="s">
        <v>156</v>
      </c>
      <c r="AM23" s="64"/>
      <c r="AN23" s="64"/>
      <c r="AO23" s="65">
        <f>AO21-AO22</f>
        <v>3994</v>
      </c>
      <c r="AP23" s="147">
        <f t="shared" si="5"/>
        <v>4.9837783878213124E-2</v>
      </c>
      <c r="AQ23" s="65">
        <f t="shared" ref="AQ23:AS23" si="18">AQ21-AQ22</f>
        <v>391.79999999998836</v>
      </c>
      <c r="AR23" s="148">
        <f t="shared" si="7"/>
        <v>3.3716857568220127E-3</v>
      </c>
      <c r="AS23" s="65">
        <f t="shared" si="18"/>
        <v>4646.1600000000035</v>
      </c>
      <c r="AT23" s="150">
        <f t="shared" si="8"/>
        <v>3.3319277471321761E-2</v>
      </c>
      <c r="AW23" s="4"/>
      <c r="BA23" s="99"/>
      <c r="BB23" s="99"/>
      <c r="BC23" s="99"/>
      <c r="BF23" s="123" t="s">
        <v>204</v>
      </c>
      <c r="BJ23" s="104">
        <f>AO44</f>
        <v>10230.534113834212</v>
      </c>
      <c r="BK23" s="104">
        <f>AQ44</f>
        <v>6897.2518986284731</v>
      </c>
      <c r="BL23" s="159">
        <f>AS44</f>
        <v>10657.370113834215</v>
      </c>
      <c r="BO23" s="123" t="s">
        <v>68</v>
      </c>
      <c r="BR23" s="104">
        <f>Q23</f>
        <v>39500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39500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3000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1534.5481013715153</v>
      </c>
      <c r="AP24" s="145">
        <f t="shared" si="5"/>
        <v>1.9148341669222801E-2</v>
      </c>
      <c r="AQ24" s="104">
        <f>AH42</f>
        <v>1634.5481013715153</v>
      </c>
      <c r="AR24" s="149">
        <f t="shared" si="7"/>
        <v>1.4066315855627783E-2</v>
      </c>
      <c r="AS24" s="104">
        <f>AI42</f>
        <v>1684.5481013715153</v>
      </c>
      <c r="AT24" s="146">
        <f t="shared" si="8"/>
        <v>1.2080497788148866E-2</v>
      </c>
      <c r="BF24" s="63" t="s">
        <v>205</v>
      </c>
      <c r="BG24" s="64"/>
      <c r="BH24" s="64"/>
      <c r="BI24" s="64"/>
      <c r="BJ24" s="65">
        <f>SUM(BJ19:BJ23)</f>
        <v>69930.534113834205</v>
      </c>
      <c r="BK24" s="65">
        <f>SUM(BK19:BK23)</f>
        <v>6897.2518986284731</v>
      </c>
      <c r="BL24" s="66">
        <f>SUM(BL19:BL23)</f>
        <v>10657.370113834215</v>
      </c>
      <c r="BO24" s="63" t="s">
        <v>225</v>
      </c>
      <c r="BP24" s="64"/>
      <c r="BQ24" s="64"/>
      <c r="BR24" s="65">
        <f>SUM(BR22:BR23)</f>
        <v>40700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40700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900</v>
      </c>
      <c r="AL25" s="38" t="s">
        <v>157</v>
      </c>
      <c r="AM25" s="1"/>
      <c r="AN25" s="1"/>
      <c r="AO25" s="104">
        <f>AO24*-1</f>
        <v>-1534.5481013715153</v>
      </c>
      <c r="AP25" s="145">
        <f t="shared" si="5"/>
        <v>-1.9148341669222801E-2</v>
      </c>
      <c r="AQ25" s="104">
        <f t="shared" ref="AQ25:AS25" si="19">AQ24*-1</f>
        <v>-1634.5481013715153</v>
      </c>
      <c r="AR25" s="149">
        <f t="shared" si="7"/>
        <v>-1.4066315855627783E-2</v>
      </c>
      <c r="AS25" s="104">
        <f t="shared" si="19"/>
        <v>-1684.5481013715153</v>
      </c>
      <c r="AT25" s="146">
        <f t="shared" si="8"/>
        <v>-1.2080497788148866E-2</v>
      </c>
      <c r="BA25" s="90"/>
      <c r="BF25" s="123" t="s">
        <v>206</v>
      </c>
      <c r="BJ25" s="104">
        <f>BJ24-BJ18</f>
        <v>15908.130982718743</v>
      </c>
      <c r="BK25" s="104">
        <f>BK24-BK18</f>
        <v>3125.7419181979458</v>
      </c>
      <c r="BL25" s="120">
        <f>BL24-BL18</f>
        <v>6464.3017772393032</v>
      </c>
      <c r="BO25" s="123" t="s">
        <v>259</v>
      </c>
      <c r="BR25" s="104">
        <f>Q30</f>
        <v>11000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11000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550</v>
      </c>
      <c r="AI26" s="54">
        <f>IF(ISBLANK('Données à saisir'!D85),0,'Données à saisir'!D85)</f>
        <v>600</v>
      </c>
      <c r="AL26" s="63" t="s">
        <v>159</v>
      </c>
      <c r="AM26" s="64"/>
      <c r="AN26" s="64"/>
      <c r="AO26" s="65">
        <f>AO23+AO25</f>
        <v>2459.4518986284847</v>
      </c>
      <c r="AP26" s="147">
        <f t="shared" si="5"/>
        <v>3.0689442208990326E-2</v>
      </c>
      <c r="AQ26" s="65">
        <f t="shared" ref="AQ26:AS26" si="21">AQ23+AQ25</f>
        <v>-1242.7481013715269</v>
      </c>
      <c r="AR26" s="148">
        <f t="shared" si="7"/>
        <v>-1.0694630098805769E-2</v>
      </c>
      <c r="AS26" s="65">
        <f t="shared" si="21"/>
        <v>2961.6118986284882</v>
      </c>
      <c r="AT26" s="150">
        <f t="shared" si="8"/>
        <v>2.1238779683172896E-2</v>
      </c>
      <c r="BF26" s="63" t="s">
        <v>260</v>
      </c>
      <c r="BG26" s="64"/>
      <c r="BH26" s="64"/>
      <c r="BI26" s="64"/>
      <c r="BJ26" s="65">
        <f>BJ25</f>
        <v>15908.130982718743</v>
      </c>
      <c r="BK26" s="65">
        <f>BJ26+BK25</f>
        <v>19033.872900916689</v>
      </c>
      <c r="BL26" s="66">
        <f>+BK26+BL25</f>
        <v>25498.174678155992</v>
      </c>
      <c r="BO26" s="123" t="s">
        <v>226</v>
      </c>
      <c r="BR26" s="104">
        <f>IF(ISERROR('Données à saisir'!$J$73/12),0,'Données à saisir'!$J$73/12)</f>
        <v>413.09523809523807</v>
      </c>
      <c r="BS26" s="104">
        <f>IF(ISERROR('Données à saisir'!$J$73/12),0,'Données à saisir'!$J$73/12)</f>
        <v>413.09523809523807</v>
      </c>
      <c r="BT26" s="104">
        <f>IF(ISERROR('Données à saisir'!$J$73/12),0,'Données à saisir'!$J$73/12)</f>
        <v>413.09523809523807</v>
      </c>
      <c r="BU26" s="104">
        <f>IF(ISERROR('Données à saisir'!$J$73/12),0,'Données à saisir'!$J$73/12)</f>
        <v>413.09523809523807</v>
      </c>
      <c r="BV26" s="120">
        <f>IF(ISERROR('Données à saisir'!$J$73/12),0,'Données à saisir'!$J$73/12)</f>
        <v>413.09523809523807</v>
      </c>
      <c r="BY26" s="196">
        <f>IF(ISERROR('Données à saisir'!$J$73/12),0,'Données à saisir'!$J$73/12)</f>
        <v>413.09523809523807</v>
      </c>
      <c r="BZ26" s="104">
        <f>IF(ISERROR('Données à saisir'!$J$73/12),0,'Données à saisir'!$J$73/12)</f>
        <v>413.09523809523807</v>
      </c>
      <c r="CA26" s="104">
        <f>IF(ISERROR('Données à saisir'!$J$73/12),0,'Données à saisir'!$J$73/12)</f>
        <v>413.09523809523807</v>
      </c>
      <c r="CB26" s="104">
        <f>IF(ISERROR('Données à saisir'!$J$73/12),0,'Données à saisir'!$J$73/12)</f>
        <v>413.09523809523807</v>
      </c>
      <c r="CC26" s="104">
        <f>IF(ISERROR('Données à saisir'!$J$73/12),0,'Données à saisir'!$J$73/12)</f>
        <v>413.09523809523807</v>
      </c>
      <c r="CD26" s="104">
        <f>IF(ISERROR('Données à saisir'!$J$73/12),0,'Données à saisir'!$J$73/12)</f>
        <v>413.09523809523807</v>
      </c>
      <c r="CE26" s="132">
        <f>IF(ISERROR('Données à saisir'!$J$73/12),0,'Données à saisir'!$J$73/12)</f>
        <v>413.09523809523807</v>
      </c>
      <c r="CF26" s="201">
        <f t="shared" si="20"/>
        <v>4957.1428571428569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véhicule</v>
      </c>
      <c r="Q27" s="42">
        <f>IF(ISBLANK('Données à saisir'!B30),"",'Données à saisir'!B30)</f>
        <v>35000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160</v>
      </c>
      <c r="AM27" s="64"/>
      <c r="AN27" s="64"/>
      <c r="AO27" s="65">
        <f>IF(ISERROR(AO26-AG45),AO26,(AO26-AG45))</f>
        <v>2090.5341138342119</v>
      </c>
      <c r="AP27" s="147">
        <f t="shared" si="5"/>
        <v>2.6086025877641774E-2</v>
      </c>
      <c r="AQ27" s="65">
        <f>IF(ISERROR(AQ26-AH45),AQ26,(AQ26-AH45))</f>
        <v>-1242.7481013715269</v>
      </c>
      <c r="AR27" s="148">
        <f t="shared" si="7"/>
        <v>-1.0694630098805769E-2</v>
      </c>
      <c r="AS27" s="65">
        <f>IF(ISERROR(AS26-AI45),AS26,(AS26-AI45))</f>
        <v>2517.3701138342149</v>
      </c>
      <c r="AT27" s="150">
        <f t="shared" si="8"/>
        <v>1.805296273069696E-2</v>
      </c>
      <c r="BO27" s="123" t="s">
        <v>227</v>
      </c>
      <c r="BR27" s="104">
        <f>BR19*'Données à saisir'!$D$123</f>
        <v>1000</v>
      </c>
      <c r="BS27" s="104">
        <f>BS19*'Données à saisir'!$D$123</f>
        <v>2304</v>
      </c>
      <c r="BT27" s="104">
        <f>BT19*'Données à saisir'!$D$123</f>
        <v>2520</v>
      </c>
      <c r="BU27" s="104">
        <f>BU19*'Données à saisir'!$D$123</f>
        <v>2664</v>
      </c>
      <c r="BV27" s="120">
        <f>BV19*'Données à saisir'!$D$123</f>
        <v>2880</v>
      </c>
      <c r="BY27" s="196">
        <f>BY19*'Données à saisir'!$D$123</f>
        <v>3024</v>
      </c>
      <c r="BZ27" s="104">
        <f>BZ19*'Données à saisir'!$D$123</f>
        <v>3024</v>
      </c>
      <c r="CA27" s="104">
        <f>CA19*'Données à saisir'!$D$123</f>
        <v>3240</v>
      </c>
      <c r="CB27" s="104">
        <f>CB19*'Données à saisir'!$D$123</f>
        <v>3240</v>
      </c>
      <c r="CC27" s="104">
        <f>CC19*'Données à saisir'!$D$123</f>
        <v>3240</v>
      </c>
      <c r="CD27" s="104">
        <f>CD19*'Données à saisir'!$D$123</f>
        <v>3240</v>
      </c>
      <c r="CE27" s="132">
        <f>CE19*'Données à saisir'!$D$123</f>
        <v>1680</v>
      </c>
      <c r="CF27" s="201">
        <f t="shared" si="20"/>
        <v>32056</v>
      </c>
    </row>
    <row r="28" spans="2:84" ht="15.1" customHeight="1" thickBot="1" x14ac:dyDescent="0.3">
      <c r="B28" s="26"/>
      <c r="C28" s="335" t="str">
        <f>IF(ISBLANK('Données à saisir'!B7),"",('Données à saisir'!B7))</f>
        <v>Vente sur les marchés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2000</v>
      </c>
      <c r="AH28" s="62">
        <f>IF(ISBLANK('Données à saisir'!C87),0,'Données à saisir'!C87)</f>
        <v>2000</v>
      </c>
      <c r="AI28" s="54">
        <f>IF(ISBLANK('Données à saisir'!D87),0,'Données à saisir'!D87)</f>
        <v>2000</v>
      </c>
      <c r="AL28" s="38" t="s">
        <v>158</v>
      </c>
      <c r="AM28" s="1"/>
      <c r="AN28" s="1"/>
      <c r="AO28" s="104">
        <f>AO27+AO22</f>
        <v>10230.534113834212</v>
      </c>
      <c r="AP28" s="145">
        <f t="shared" si="5"/>
        <v>0.12765827444265301</v>
      </c>
      <c r="AQ28" s="104">
        <f t="shared" ref="AQ28:AS28" si="22">AQ27+AQ22</f>
        <v>6897.2518986284731</v>
      </c>
      <c r="AR28" s="149">
        <f t="shared" si="7"/>
        <v>5.9355196497753698E-2</v>
      </c>
      <c r="AS28" s="104">
        <f t="shared" si="22"/>
        <v>10657.370113834215</v>
      </c>
      <c r="AT28" s="151">
        <f t="shared" si="8"/>
        <v>7.6427818227829847E-2</v>
      </c>
      <c r="BF28" s="92" t="s">
        <v>256</v>
      </c>
      <c r="BI28" s="314">
        <f>Q31</f>
        <v>8000</v>
      </c>
      <c r="BJ28" s="314"/>
      <c r="BO28" s="123" t="s">
        <v>79</v>
      </c>
      <c r="BR28" s="104">
        <f>$AG$17/12</f>
        <v>1333.3333333333333</v>
      </c>
      <c r="BS28" s="104">
        <f t="shared" ref="BS28:CE28" si="23">$AG$17/12</f>
        <v>1333.3333333333333</v>
      </c>
      <c r="BT28" s="104">
        <f t="shared" si="23"/>
        <v>1333.3333333333333</v>
      </c>
      <c r="BU28" s="104">
        <f t="shared" si="23"/>
        <v>1333.3333333333333</v>
      </c>
      <c r="BV28" s="120">
        <f t="shared" si="23"/>
        <v>1333.3333333333333</v>
      </c>
      <c r="BY28" s="196">
        <f t="shared" si="23"/>
        <v>1333.3333333333333</v>
      </c>
      <c r="BZ28" s="104">
        <f t="shared" si="23"/>
        <v>1333.3333333333333</v>
      </c>
      <c r="CA28" s="104">
        <f t="shared" si="23"/>
        <v>1333.3333333333333</v>
      </c>
      <c r="CB28" s="104">
        <f t="shared" si="23"/>
        <v>1333.3333333333333</v>
      </c>
      <c r="CC28" s="104">
        <f t="shared" si="23"/>
        <v>1333.3333333333333</v>
      </c>
      <c r="CD28" s="104">
        <f t="shared" si="23"/>
        <v>1333.3333333333333</v>
      </c>
      <c r="CE28" s="132">
        <f t="shared" si="23"/>
        <v>1333.3333333333333</v>
      </c>
      <c r="CF28" s="201">
        <f t="shared" si="20"/>
        <v>16000.000000000002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11000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3150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8000</v>
      </c>
      <c r="T31" s="107" t="s">
        <v>147</v>
      </c>
      <c r="U31" s="34"/>
      <c r="V31" s="34"/>
      <c r="W31" s="34"/>
      <c r="X31" s="110">
        <f>SUM(X33:X39)</f>
        <v>240</v>
      </c>
      <c r="Y31" s="110">
        <f>SUM(Y33:Y39)</f>
        <v>240</v>
      </c>
      <c r="Z31" s="111">
        <f>SUM(Z33:Z39)</f>
        <v>240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73</v>
      </c>
      <c r="Q32" s="45">
        <f>+SUM(Q12,Q23,Q30:Q31)</f>
        <v>59700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72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1662.5</v>
      </c>
      <c r="BS34" s="65">
        <f t="shared" ref="BS34:CE34" si="27">SUM(BS30:BS33)</f>
        <v>1662.5</v>
      </c>
      <c r="BT34" s="65">
        <f t="shared" si="27"/>
        <v>1662.5</v>
      </c>
      <c r="BU34" s="65">
        <f t="shared" si="27"/>
        <v>1662.5</v>
      </c>
      <c r="BV34" s="66">
        <f t="shared" si="27"/>
        <v>1662.5</v>
      </c>
      <c r="BY34" s="197">
        <f t="shared" si="27"/>
        <v>1662.5</v>
      </c>
      <c r="BZ34" s="65">
        <f t="shared" si="27"/>
        <v>1662.5</v>
      </c>
      <c r="CA34" s="65">
        <f t="shared" si="27"/>
        <v>1662.5</v>
      </c>
      <c r="CB34" s="65">
        <f t="shared" si="27"/>
        <v>1662.5</v>
      </c>
      <c r="CC34" s="65">
        <f t="shared" si="27"/>
        <v>1662.5</v>
      </c>
      <c r="CD34" s="65">
        <f t="shared" si="27"/>
        <v>1662.5</v>
      </c>
      <c r="CE34" s="131">
        <f t="shared" si="27"/>
        <v>1662.5</v>
      </c>
      <c r="CF34" s="200">
        <f t="shared" si="20"/>
        <v>19950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32084</v>
      </c>
      <c r="AH35" s="65">
        <f>AH16-AH17</f>
        <v>52531.799999999988</v>
      </c>
      <c r="AI35" s="66">
        <f>AI16-AI17</f>
        <v>65386.16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127.87900844762628</v>
      </c>
      <c r="BS35" s="104">
        <f>$AG42/12</f>
        <v>127.87900844762628</v>
      </c>
      <c r="BT35" s="104">
        <f>$AG42/12</f>
        <v>127.87900844762628</v>
      </c>
      <c r="BU35" s="104">
        <f>$AG42/12</f>
        <v>127.87900844762628</v>
      </c>
      <c r="BV35" s="120">
        <f>$AG42/12</f>
        <v>127.87900844762628</v>
      </c>
      <c r="BY35" s="196">
        <f t="shared" ref="BY35:CE35" si="28">$AG42/12</f>
        <v>127.87900844762628</v>
      </c>
      <c r="BZ35" s="104">
        <f t="shared" si="28"/>
        <v>127.87900844762628</v>
      </c>
      <c r="CA35" s="104">
        <f t="shared" si="28"/>
        <v>127.87900844762628</v>
      </c>
      <c r="CB35" s="104">
        <f t="shared" si="28"/>
        <v>127.87900844762628</v>
      </c>
      <c r="CC35" s="104">
        <f t="shared" si="28"/>
        <v>127.87900844762628</v>
      </c>
      <c r="CD35" s="104">
        <f t="shared" si="28"/>
        <v>127.87900844762628</v>
      </c>
      <c r="CE35" s="132">
        <f t="shared" si="28"/>
        <v>127.87900844762628</v>
      </c>
      <c r="CF35" s="201">
        <f t="shared" si="20"/>
        <v>1534.5481013715155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80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56236.8075798762</v>
      </c>
      <c r="BS36" s="65">
        <f>SUM(BS24:BS29,BS34:BS35)</f>
        <v>5840.8075798761975</v>
      </c>
      <c r="BT36" s="65">
        <f>SUM(BT24:BT29,BT34:BT35)</f>
        <v>6056.8075798761975</v>
      </c>
      <c r="BU36" s="65">
        <f>SUM(BU24:BU29,BU34:BU35)</f>
        <v>6200.8075798761975</v>
      </c>
      <c r="BV36" s="66">
        <f>SUM(BV24:BV29,BV34:BV35)</f>
        <v>6416.8075798761975</v>
      </c>
      <c r="BY36" s="197">
        <f t="shared" ref="BY36:CE36" si="29">SUM(BY24:BY29,BY34:BY35)</f>
        <v>6560.8075798761975</v>
      </c>
      <c r="BZ36" s="65">
        <f t="shared" si="29"/>
        <v>6560.8075798761975</v>
      </c>
      <c r="CA36" s="65">
        <f t="shared" si="29"/>
        <v>6776.8075798761975</v>
      </c>
      <c r="CB36" s="65">
        <f t="shared" si="29"/>
        <v>6776.8075798761975</v>
      </c>
      <c r="CC36" s="65">
        <f t="shared" si="29"/>
        <v>6776.8075798761975</v>
      </c>
      <c r="CD36" s="65">
        <f t="shared" si="29"/>
        <v>6776.8075798761975</v>
      </c>
      <c r="CE36" s="131">
        <f t="shared" si="29"/>
        <v>5216.8075798761975</v>
      </c>
      <c r="CF36" s="200">
        <f t="shared" si="20"/>
        <v>126197.6909585144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74</v>
      </c>
      <c r="Q37" s="41">
        <f>SUM(Q38:Q39)</f>
        <v>25000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62200</v>
      </c>
      <c r="BS37" s="65">
        <f>SUM(BS15:BS20)</f>
        <v>5760</v>
      </c>
      <c r="BT37" s="65">
        <f>SUM(BT15:BT20)</f>
        <v>6300</v>
      </c>
      <c r="BU37" s="65">
        <f>SUM(BU15:BU20)</f>
        <v>6660</v>
      </c>
      <c r="BV37" s="66">
        <f>SUM(BV15:BV20)</f>
        <v>7200</v>
      </c>
      <c r="BY37" s="197">
        <f t="shared" ref="BY37:CE37" si="30">SUM(BY15:BY20)</f>
        <v>7560</v>
      </c>
      <c r="BZ37" s="65">
        <f t="shared" si="30"/>
        <v>7560</v>
      </c>
      <c r="CA37" s="65">
        <f t="shared" si="30"/>
        <v>8100</v>
      </c>
      <c r="CB37" s="65">
        <f t="shared" si="30"/>
        <v>8100</v>
      </c>
      <c r="CC37" s="65">
        <f t="shared" si="30"/>
        <v>8100</v>
      </c>
      <c r="CD37" s="65">
        <f t="shared" si="30"/>
        <v>8100</v>
      </c>
      <c r="CE37" s="131">
        <f t="shared" si="30"/>
        <v>4200</v>
      </c>
      <c r="CF37" s="200">
        <f t="shared" ref="CF37" si="31">SUM(BR37:CE37)</f>
        <v>139840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25000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2634.739726027397</v>
      </c>
      <c r="BB38" s="177">
        <f>BB12/365*$AZ38</f>
        <v>3820.3726027397265</v>
      </c>
      <c r="BC38" s="178">
        <f>BC12/365*$AZ38</f>
        <v>4584.4471232876713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5963.1924201237998</v>
      </c>
      <c r="BT38" s="104">
        <f>BS40</f>
        <v>5882.3848402476024</v>
      </c>
      <c r="BU38" s="104">
        <f>BT40</f>
        <v>6125.5772603714049</v>
      </c>
      <c r="BV38" s="159">
        <f>BU40</f>
        <v>6584.7696804952075</v>
      </c>
      <c r="BY38" s="196">
        <f>BV40</f>
        <v>7367.96210061901</v>
      </c>
      <c r="BZ38" s="104">
        <f t="shared" ref="BZ38:CE38" si="32">BY40</f>
        <v>8367.1545207428135</v>
      </c>
      <c r="CA38" s="104">
        <f t="shared" si="32"/>
        <v>9366.3469408666169</v>
      </c>
      <c r="CB38" s="104">
        <f t="shared" si="32"/>
        <v>10689.53936099042</v>
      </c>
      <c r="CC38" s="104">
        <f t="shared" si="32"/>
        <v>12012.731781114224</v>
      </c>
      <c r="CD38" s="104">
        <f t="shared" si="32"/>
        <v>13335.924201238027</v>
      </c>
      <c r="CE38" s="132">
        <f t="shared" si="32"/>
        <v>14659.116621361831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83</v>
      </c>
      <c r="AG39" s="57">
        <f>'Données à saisir'!B134</f>
        <v>15000</v>
      </c>
      <c r="AH39" s="57">
        <f>'Données à saisir'!C134</f>
        <v>25000</v>
      </c>
      <c r="AI39" s="53">
        <f>'Données à saisir'!D134</f>
        <v>30000</v>
      </c>
      <c r="AW39" s="166" t="s">
        <v>189</v>
      </c>
      <c r="AX39" s="165"/>
      <c r="AY39" s="64"/>
      <c r="AZ39" s="167"/>
      <c r="BA39" s="173">
        <f>BA36-BA38</f>
        <v>-2634.739726027397</v>
      </c>
      <c r="BB39" s="174">
        <f>BB36-BB38</f>
        <v>-3820.3726027397265</v>
      </c>
      <c r="BC39" s="175">
        <f>BC36-BC38</f>
        <v>-4584.4471232876713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5963.1924201237998</v>
      </c>
      <c r="BS39" s="57">
        <f t="shared" ref="BS39:CE39" si="33">BS37-BS36</f>
        <v>-80.807579876197451</v>
      </c>
      <c r="BT39" s="57">
        <f t="shared" si="33"/>
        <v>243.19242012380255</v>
      </c>
      <c r="BU39" s="57">
        <f t="shared" si="33"/>
        <v>459.19242012380255</v>
      </c>
      <c r="BV39" s="68">
        <f t="shared" si="33"/>
        <v>783.19242012380255</v>
      </c>
      <c r="BW39" s="1"/>
      <c r="BX39" s="1"/>
      <c r="BY39" s="215">
        <f t="shared" si="33"/>
        <v>999.19242012380255</v>
      </c>
      <c r="BZ39" s="57">
        <f t="shared" si="33"/>
        <v>999.19242012380255</v>
      </c>
      <c r="CA39" s="57">
        <f t="shared" si="33"/>
        <v>1323.1924201238025</v>
      </c>
      <c r="CB39" s="57">
        <f t="shared" si="33"/>
        <v>1323.1924201238025</v>
      </c>
      <c r="CC39" s="57">
        <f t="shared" si="33"/>
        <v>1323.1924201238025</v>
      </c>
      <c r="CD39" s="57">
        <f t="shared" si="33"/>
        <v>1323.1924201238025</v>
      </c>
      <c r="CE39" s="74">
        <f t="shared" si="33"/>
        <v>-1016.8075798761975</v>
      </c>
      <c r="CF39" s="212"/>
    </row>
    <row r="40" spans="2:84" ht="15.1" customHeight="1" thickBot="1" x14ac:dyDescent="0.3">
      <c r="K40" s="38" t="s">
        <v>69</v>
      </c>
      <c r="N40" s="97" t="s">
        <v>136</v>
      </c>
      <c r="O40" s="97" t="s">
        <v>137</v>
      </c>
      <c r="Q40" s="41">
        <f>SUM(Q41:Q43)</f>
        <v>34700</v>
      </c>
      <c r="T40" s="107" t="s">
        <v>148</v>
      </c>
      <c r="U40" s="34"/>
      <c r="V40" s="34"/>
      <c r="W40" s="34"/>
      <c r="X40" s="110">
        <f>SUM(X42:X46)</f>
        <v>7900</v>
      </c>
      <c r="Y40" s="110">
        <f>SUM(Y42:Y46)</f>
        <v>7900</v>
      </c>
      <c r="Z40" s="237">
        <f>SUM(Z42:Z46)</f>
        <v>7900</v>
      </c>
      <c r="AC40" s="123" t="s">
        <v>82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21000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238</v>
      </c>
      <c r="BP40" s="64"/>
      <c r="BQ40" s="64"/>
      <c r="BR40" s="65">
        <f>BR39</f>
        <v>5963.1924201237998</v>
      </c>
      <c r="BS40" s="65">
        <f>BS38+BS39</f>
        <v>5882.3848402476024</v>
      </c>
      <c r="BT40" s="65">
        <f>BT38+BT39</f>
        <v>6125.5772603714049</v>
      </c>
      <c r="BU40" s="65">
        <f>BU38+BU39</f>
        <v>6584.7696804952075</v>
      </c>
      <c r="BV40" s="66">
        <f t="shared" ref="BV40:CE40" si="34">BV38+BV39</f>
        <v>7367.96210061901</v>
      </c>
      <c r="BY40" s="197">
        <f t="shared" si="34"/>
        <v>8367.1545207428135</v>
      </c>
      <c r="BZ40" s="65">
        <f t="shared" si="34"/>
        <v>9366.3469408666169</v>
      </c>
      <c r="CA40" s="65">
        <f t="shared" si="34"/>
        <v>10689.53936099042</v>
      </c>
      <c r="CB40" s="65">
        <f t="shared" si="34"/>
        <v>12012.731781114224</v>
      </c>
      <c r="CC40" s="65">
        <f t="shared" si="34"/>
        <v>13335.924201238027</v>
      </c>
      <c r="CD40" s="65">
        <f t="shared" si="34"/>
        <v>14659.116621361831</v>
      </c>
      <c r="CE40" s="131">
        <f t="shared" si="34"/>
        <v>13642.309041485634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0.04</v>
      </c>
      <c r="O41" s="96">
        <f>IF(ISBLANK('Données à saisir'!D61),"",'Données à saisir'!D61)</f>
        <v>84</v>
      </c>
      <c r="Q41" s="42">
        <f>IF(ISBLANK('Données à saisir'!B61),0,'Données à saisir'!B61)</f>
        <v>34700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12134</v>
      </c>
      <c r="AH41" s="65">
        <f t="shared" ref="AH41:AI41" si="35">AH35-SUM(AH36:AH40)</f>
        <v>8531.7999999999884</v>
      </c>
      <c r="AI41" s="66">
        <f t="shared" si="35"/>
        <v>12786.160000000003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600</v>
      </c>
      <c r="Y42" s="113">
        <f>'Données à saisir'!D50</f>
        <v>600</v>
      </c>
      <c r="Z42" s="236">
        <f>'Données à saisir'!E50</f>
        <v>600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1534.5481013715153</v>
      </c>
      <c r="AH42" s="57">
        <f>'Données à saisir'!C90+SUM('Données à saisir'!H70:H72)</f>
        <v>1634.5481013715153</v>
      </c>
      <c r="AI42" s="53">
        <f>'Données à saisir'!D90+SUM('Données à saisir'!I70:I72)</f>
        <v>1684.5481013715153</v>
      </c>
      <c r="AL42" s="63" t="s">
        <v>160</v>
      </c>
      <c r="AM42" s="64"/>
      <c r="AN42" s="64"/>
      <c r="AO42" s="131">
        <f>AO27</f>
        <v>2090.5341138342119</v>
      </c>
      <c r="AP42" s="136"/>
      <c r="AQ42" s="131">
        <f>AQ27</f>
        <v>-1242.7481013715269</v>
      </c>
      <c r="AR42" s="136"/>
      <c r="AS42" s="128">
        <f>AS27</f>
        <v>2517.3701138342149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84</v>
      </c>
      <c r="AD43" s="1"/>
      <c r="AE43" s="1"/>
      <c r="AF43" s="1"/>
      <c r="AG43" s="57">
        <f>'Données à saisir'!C39</f>
        <v>8140</v>
      </c>
      <c r="AH43" s="57">
        <f>'Données à saisir'!D39</f>
        <v>8140</v>
      </c>
      <c r="AI43" s="53">
        <f>'Données à saisir'!E39</f>
        <v>8140</v>
      </c>
      <c r="AL43" s="122" t="s">
        <v>161</v>
      </c>
      <c r="AM43" s="1"/>
      <c r="AN43" s="1"/>
      <c r="AO43" s="132">
        <f>AO22</f>
        <v>8140</v>
      </c>
      <c r="AP43" s="137"/>
      <c r="AQ43" s="132">
        <f>AQ22</f>
        <v>8140</v>
      </c>
      <c r="AR43" s="137"/>
      <c r="AS43" s="127">
        <f>AS22</f>
        <v>8140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129</v>
      </c>
      <c r="AD44" s="64"/>
      <c r="AE44" s="64"/>
      <c r="AF44" s="64"/>
      <c r="AG44" s="65">
        <f>AG41-AG42-AG43</f>
        <v>2459.4518986284857</v>
      </c>
      <c r="AH44" s="65">
        <f t="shared" ref="AH44:AI44" si="37">AH41-AH42-AH43</f>
        <v>-1242.7481013715269</v>
      </c>
      <c r="AI44" s="66">
        <f t="shared" si="37"/>
        <v>2961.6118986284891</v>
      </c>
      <c r="AL44" s="63" t="s">
        <v>158</v>
      </c>
      <c r="AM44" s="64"/>
      <c r="AN44" s="64"/>
      <c r="AO44" s="131">
        <f>AO42+AO43</f>
        <v>10230.534113834212</v>
      </c>
      <c r="AP44" s="136"/>
      <c r="AQ44" s="131">
        <f t="shared" ref="AQ44:AS44" si="38">AQ42+AQ43</f>
        <v>6897.2518986284731</v>
      </c>
      <c r="AR44" s="136"/>
      <c r="AS44" s="128">
        <f t="shared" si="38"/>
        <v>10657.370113834215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Matériel, véhicule</v>
      </c>
      <c r="X45" s="113">
        <f>'Données à saisir'!C53</f>
        <v>7000</v>
      </c>
      <c r="Y45" s="113">
        <f>'Données à saisir'!D53</f>
        <v>7000</v>
      </c>
      <c r="Z45" s="236">
        <f>'Données à saisir'!E53</f>
        <v>7000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368.91778479427285</v>
      </c>
      <c r="AH45" s="57">
        <f>IF(AC45="Impôt sur les sociétés",IF(AH44&lt;0,0,IF(AH44&gt;38120,38120*0.15+(AH44-38120)*25%,AH44*0.15)),"")</f>
        <v>0</v>
      </c>
      <c r="AI45" s="53">
        <f>+IF(AC45="Impôt sur les sociétés",IF(AI44&lt;0,0,IF(AI44&gt;38120,38120*0.15+(AI44-38120)*25%,AI44*0.15)),"")</f>
        <v>444.24178479427337</v>
      </c>
      <c r="AL45" s="123" t="s">
        <v>162</v>
      </c>
      <c r="AO45" s="132">
        <f>IF(ISERROR(SUM('Données à saisir'!J70:J72)),0,SUM('Données à saisir'!J70:J72))</f>
        <v>4957.1428571428569</v>
      </c>
      <c r="AP45" s="137"/>
      <c r="AQ45" s="132">
        <f>SUM('Données à saisir'!K70:K72)</f>
        <v>4957.1428571428569</v>
      </c>
      <c r="AR45" s="137"/>
      <c r="AS45" s="127">
        <f>SUM('Données à saisir'!L70:L72)</f>
        <v>4957.1428571428569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5273.391256691355</v>
      </c>
      <c r="AP46" s="138"/>
      <c r="AQ46" s="133">
        <f>AQ44-AQ45</f>
        <v>1940.1090414856162</v>
      </c>
      <c r="AR46" s="138"/>
      <c r="AS46" s="129">
        <f>AS44-AS45</f>
        <v>5700.227256691358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45157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2090.5341138342128</v>
      </c>
      <c r="AH47" s="65">
        <f t="shared" ref="AH47:AI47" si="39">AH44-SUM(AH45)</f>
        <v>-1242.7481013715269</v>
      </c>
      <c r="AI47" s="66">
        <f t="shared" si="39"/>
        <v>2517.3701138342158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76</v>
      </c>
      <c r="P48" s="36"/>
      <c r="Q48" s="45">
        <f>SUM(Q37,Q40,Q44:Q46)</f>
        <v>59700</v>
      </c>
      <c r="T48" s="109" t="s">
        <v>149</v>
      </c>
      <c r="U48" s="108"/>
      <c r="V48" s="108"/>
      <c r="W48" s="108"/>
      <c r="X48" s="112">
        <f>SUM(X31,X40)</f>
        <v>8140</v>
      </c>
      <c r="Y48" s="112">
        <f>SUM(Y31,Y40)</f>
        <v>8140</v>
      </c>
      <c r="Z48" s="118">
        <f>SUM(Z31,Z40)</f>
        <v>8140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114</v>
      </c>
      <c r="AG52" s="90">
        <f>AG35-SUM(AG36:AG38,AG42:AG43)</f>
        <v>22409.451898628486</v>
      </c>
      <c r="AH52" s="90">
        <f>AH35-SUM(AH36:AH38,AH42:AH43)</f>
        <v>41257.25189862847</v>
      </c>
      <c r="AI52" s="90">
        <f>AI35-SUM(AI36:AI38,AI42:AI43)</f>
        <v>53961.611898628486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295</v>
      </c>
    </row>
    <row r="13" spans="1:9" ht="11.95" customHeight="1" x14ac:dyDescent="0.25"/>
    <row r="14" spans="1:9" ht="13.5" customHeight="1" x14ac:dyDescent="0.3">
      <c r="B14" s="269" t="s">
        <v>297</v>
      </c>
    </row>
    <row r="15" spans="1:9" ht="16.45" customHeight="1" x14ac:dyDescent="0.25">
      <c r="C15" s="341" t="s">
        <v>296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2023-08-19T09:55:28Z</dcterms:modified>
</cp:coreProperties>
</file>