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9F7CAE68-1425-4DDD-808B-71E655CE7CEB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61" i="1" l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Q38" i="2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Q37" i="2" l="1"/>
  <c r="BJ19" i="2" s="1"/>
  <c r="BR15" i="2" s="1"/>
  <c r="CF15" i="2" s="1"/>
  <c r="B67" i="1"/>
  <c r="C67" i="1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39" i="1"/>
  <c r="Q48" i="2" l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G40" i="1"/>
  <c r="BY31" i="2"/>
  <c r="BZ31" i="2"/>
  <c r="G42" i="1"/>
  <c r="H42" i="1" s="1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3" i="1" l="1"/>
  <c r="G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H53" i="1" l="1"/>
  <c r="I53" i="1" s="1"/>
  <c r="J53" i="1" s="1"/>
  <c r="K53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<sst xmlns="http://schemas.openxmlformats.org/spreadsheetml/2006/main" count="451" uniqueCount="302">
  <si>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</si>
  <si>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</si>
  <si>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</si>
  <si>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</si>
  <si>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</si>
  <si>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</si>
  <si>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</si>
  <si>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</si>
  <si>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</si>
  <si>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</si>
  <si>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</si>
  <si>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</si>
  <si>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</si>
  <si>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</si>
  <si>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</si>
  <si>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</si>
  <si>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</si>
  <si>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</si>
  <si>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</si>
  <si>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</si>
  <si>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</si>
  <si>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</si>
  <si>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</si>
  <si>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</si>
  <si>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</si>
  <si>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</si>
  <si>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</si>
  <si>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</si>
  <si>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</si>
  <si>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</si>
  <si>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</si>
  <si>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</si>
  <si>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</si>
  <si>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</si>
  <si>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</si>
  <si>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</si>
  <si>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</si>
  <si>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</si>
  <si>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</si>
  <si>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</si>
  <si>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</si>
  <si>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</si>
  <si>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</si>
  <si>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</si>
  <si>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</si>
  <si>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</si>
  <si>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</si>
  <si>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</si>
  <si>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</si>
  <si>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</si>
  <si>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</si>
  <si>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</si>
  <si>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</si>
  <si>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</si>
  <si>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</si>
  <si>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</si>
  <si>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</si>
  <si>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</si>
  <si>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</si>
  <si>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</si>
  <si>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</si>
  <si>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</si>
  <si>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</si>
  <si>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</si>
  <si>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</si>
  <si>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</si>
  <si>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</si>
  <si>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</si>
  <si>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</si>
  <si>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</si>
  <si>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</si>
  <si>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</si>
  <si>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</si>
  <si>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</si>
  <si>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</si>
  <si>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</si>
  <si>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</si>
  <si>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</si>
  <si>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</si>
  <si>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</si>
  <si>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</si>
  <si>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</si>
  <si>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</si>
  <si>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</si>
  <si>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</si>
  <si>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</si>
  <si>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</si>
  <si>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</si>
  <si>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</si>
  <si>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</si>
  <si>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</si>
  <si>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</si>
  <si>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</si>
  <si>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</si>
  <si>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</si>
  <si>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</si>
  <si>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</si>
  <si>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</si>
  <si>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</si>
  <si>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</si>
  <si>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</si>
  <si>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</si>
  <si>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</si>
  <si>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</si>
  <si>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</si>
  <si>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</si>
  <si>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</si>
  <si>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</si>
  <si>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</si>
  <si>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</si>
  <si>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</si>
  <si>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</si>
  <si>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</si>
  <si>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</si>
  <si>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</si>
  <si>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</si>
  <si>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</si>
  <si>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</si>
  <si>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</si>
  <si>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</si>
  <si>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</si>
  <si>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</si>
  <si>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</si>
  <si>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</si>
  <si>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</si>
  <si>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</si>
  <si>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</si>
  <si>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</si>
  <si>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</si>
  <si>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</si>
  <si>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</si>
  <si>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</si>
  <si>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</si>
  <si>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</si>
  <si>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</si>
  <si>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</si>
  <si>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</si>
  <si>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</si>
  <si>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</si>
  <si>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</si>
  <si>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</si>
  <si>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</si>
  <si>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</si>
  <si>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</si>
  <si>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</si>
  <si>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</si>
  <si>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</si>
  <si>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</si>
  <si>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</si>
  <si>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</si>
  <si>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</si>
  <si>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</si>
  <si>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</si>
  <si>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</si>
  <si>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</si>
  <si>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</si>
  <si>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</si>
  <si>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</si>
  <si>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</si>
  <si>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</si>
  <si>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</si>
  <si>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</si>
  <si>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</si>
  <si>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</si>
  <si>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</si>
  <si>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</si>
  <si>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</si>
  <si>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</si>
  <si>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</si>
  <si>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</si>
  <si>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</si>
  <si>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</si>
  <si>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</si>
  <si>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</si>
  <si>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</si>
  <si>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</si>
  <si>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</si>
  <si>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</si>
  <si>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</si>
  <si>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</si>
  <si>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</si>
  <si>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</si>
  <si>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</si>
  <si>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</si>
  <si>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</si>
  <si>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</si>
  <si>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</si>
  <si>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</si>
  <si>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</si>
  <si>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</si>
  <si>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</si>
  <si>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</si>
  <si>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</si>
  <si>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</si>
  <si>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</si>
  <si>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</si>
  <si>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</si>
  <si>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</si>
  <si>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</si>
  <si>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</si>
  <si>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</si>
  <si>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</si>
  <si>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</si>
  <si>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</si>
  <si>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</si>
  <si>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</si>
  <si>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</si>
  <si>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</si>
  <si>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</si>
  <si>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</si>
  <si>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</si>
  <si>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</si>
  <si>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</si>
  <si>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</si>
  <si>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</si>
  <si>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</si>
  <si>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</si>
  <si>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</si>
  <si>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</si>
  <si>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</si>
  <si>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</si>
  <si>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</si>
  <si>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</si>
  <si>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</si>
  <si>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</si>
  <si>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</si>
  <si>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</si>
  <si>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</si>
  <si>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</si>
  <si>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</si>
  <si>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</si>
  <si>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</si>
  <si>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</si>
  <si>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</si>
  <si>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</si>
  <si>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</si>
  <si>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</si>
  <si>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</si>
  <si>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</si>
  <si>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</si>
  <si>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</si>
  <si>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</si>
  <si>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</si>
  <si>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</si>
  <si>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</si>
  <si>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</si>
  <si>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</si>
  <si>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</si>
  <si>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</si>
  <si>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</si>
  <si>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</si>
  <si>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</si>
  <si>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</si>
  <si>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</si>
  <si>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</si>
  <si>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</si>
  <si>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</si>
  <si>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</si>
  <si>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</si>
  <si>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</si>
  <si>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</si>
  <si>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</si>
  <si>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</si>
  <si>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</si>
  <si>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</si>
  <si>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</si>
  <si>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</si>
  <si>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</si>
  <si>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</si>
  <si>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</si>
  <si>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</si>
  <si>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</si>
  <si>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</si>
  <si>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</si>
  <si>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</si>
  <si>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</si>
  <si>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</si>
  <si>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</si>
  <si>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</si>
  <si>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</si>
  <si>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</si>
  <si>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</si>
  <si>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</si>
  <si>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</si>
  <si>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</si>
  <si>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</si>
  <si>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</si>
  <si>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</si>
  <si>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</si>
  <si>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</si>
  <si>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</si>
  <si>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</si>
  <si>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</si>
  <si>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</si>
  <si>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</si>
  <si>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</si>
  <si>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</si>
  <si>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</si>
  <si>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</si>
  <si>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</si>
  <si>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</si>
  <si>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Vente en ligne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</si>
</sst>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283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8"/>
      <c r="C6" s="288"/>
      <c r="G6" s="232"/>
      <c r="H6" s="287" t="s">
        <v>296</v>
      </c>
      <c r="I6" s="287"/>
      <c r="J6" t="s">
        <v>111</v>
      </c>
    </row>
    <row r="7" spans="1:14" ht="15.1" customHeight="1" x14ac:dyDescent="0.25">
      <c r="A7" s="275" t="s">
        <v>264</v>
      </c>
      <c r="B7" s="288" t="s">
        <v>301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113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250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104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800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800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400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4500</v>
      </c>
      <c r="C27" s="5" t="s">
        <v>19</v>
      </c>
    </row>
    <row r="28" spans="1:8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/>
      <c r="C29" s="5" t="s">
        <v>12</v>
      </c>
    </row>
    <row r="30" spans="1:8" x14ac:dyDescent="0.25">
      <c r="A30" s="276" t="s">
        <v>39</v>
      </c>
      <c r="B30" s="255">
        <v>2000</v>
      </c>
      <c r="C30" s="5" t="s">
        <v>13</v>
      </c>
    </row>
    <row r="31" spans="1:8" x14ac:dyDescent="0.25">
      <c r="A31" s="276" t="s">
        <v>14</v>
      </c>
      <c r="B31" s="255">
        <v>1500</v>
      </c>
      <c r="C31" s="5" t="s">
        <v>15</v>
      </c>
    </row>
    <row r="32" spans="1:8" x14ac:dyDescent="0.25">
      <c r="A32" s="276" t="s">
        <v>16</v>
      </c>
      <c r="B32" s="255">
        <v>30000</v>
      </c>
      <c r="C32" s="5" t="s">
        <v>17</v>
      </c>
    </row>
    <row r="33" spans="1:13" ht="15.25" thickBot="1" x14ac:dyDescent="0.3">
      <c r="A33" s="276" t="s">
        <v>40</v>
      </c>
      <c r="B33" s="255">
        <v>10000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52600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10600</v>
      </c>
      <c r="C39" s="116">
        <f t="shared" ref="C39:C54" si="0">IF(ISERROR($B39/$C$36),0,$B39/$C$36)</f>
        <v>2120</v>
      </c>
      <c r="D39" s="116">
        <f>IF($B39&gt;(SUM(C39:$C39)),IF(ISERROR($B39/$C$36),"",$B39/$C$36),0)</f>
        <v>2120</v>
      </c>
      <c r="E39" s="116">
        <f>IF($B39&gt;(SUM($C39:D39)),IF(ISERROR($B39/$C$36),"",$B39/$C$36),0)</f>
        <v>2120</v>
      </c>
      <c r="F39" s="116">
        <f>IF($B39&gt;(SUM($C39:E39)),IF(ISERROR($B39/$C$36),"",$B39/$C$36),0)</f>
        <v>2120</v>
      </c>
      <c r="G39" s="116">
        <f>IF($B39&gt;(SUM($C39:F39)),IF(ISERROR($B39/$C$36),"",$B39/$C$36),0)</f>
        <v>2120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10600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160</v>
      </c>
      <c r="D40" s="75">
        <f>IF($B40&gt;(SUM(C40:$C40)),IF(ISERROR($B40/$C$36),"",$B40/$C$36),0)</f>
        <v>160</v>
      </c>
      <c r="E40" s="75">
        <f>IF($B40&gt;(SUM($C40:D40)),IF(ISERROR($B40/$C$36),"",$B40/$C$36),0)</f>
        <v>160</v>
      </c>
      <c r="F40" s="75">
        <f>IF($B40&gt;(SUM($C40:E40)),IF(ISERROR($B40/$C$36),"",$B40/$C$36),0)</f>
        <v>160</v>
      </c>
      <c r="G40" s="75">
        <f>IF($B40&gt;(SUM($C40:F40)),IF(ISERROR($B40/$C$36),"",$B40/$C$36),0)</f>
        <v>160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800</v>
      </c>
      <c r="C42" s="75">
        <f t="shared" si="0"/>
        <v>160</v>
      </c>
      <c r="D42" s="75">
        <f>IF($B42&gt;(SUM(C42:$C42)),IF(ISERROR($B42/$C$36),"",$B42/$C$36),0)</f>
        <v>160</v>
      </c>
      <c r="E42" s="75">
        <f>IF($B42&gt;(SUM($C42:D42)),IF(ISERROR($B42/$C$36),"",$B42/$C$36),0)</f>
        <v>160</v>
      </c>
      <c r="F42" s="75">
        <f>IF($B42&gt;(SUM($C42:E42)),IF(ISERROR($B42/$C$36),"",$B42/$C$36),0)</f>
        <v>160</v>
      </c>
      <c r="G42" s="75">
        <f>IF($B42&gt;(SUM($C42:F42)),IF(ISERROR($B42/$C$36),"",$B42/$C$36),0)</f>
        <v>160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800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400</v>
      </c>
      <c r="C48" s="75">
        <f t="shared" si="0"/>
        <v>80</v>
      </c>
      <c r="D48" s="75">
        <f>IF($B48&gt;(SUM(C48:$C48)),IF(ISERROR($B48/$C$36),"",$B48/$C$36),0)</f>
        <v>80</v>
      </c>
      <c r="E48" s="75">
        <f>IF($B48&gt;(SUM($C48:D48)),IF(ISERROR($B48/$C$36),"",$B48/$C$36),0)</f>
        <v>80</v>
      </c>
      <c r="F48" s="75">
        <f>IF($B48&gt;(SUM($C48:E48)),IF(ISERROR($B48/$C$36),"",$B48/$C$36),0)</f>
        <v>80</v>
      </c>
      <c r="G48" s="75">
        <f>IF($B48&gt;(SUM($C48:F48)),IF(ISERROR($B48/$C$36),"",$B48/$C$36),0)</f>
        <v>80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400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4500</v>
      </c>
      <c r="C50" s="75">
        <f t="shared" si="0"/>
        <v>900</v>
      </c>
      <c r="D50" s="75">
        <f>IF($B50&gt;(SUM(C50:$C50)),IF(ISERROR($B50/$C$36),"",$B50/$C$36),0)</f>
        <v>900</v>
      </c>
      <c r="E50" s="75">
        <f>IF($B50&gt;(SUM($C50:D50)),IF(ISERROR($B50/$C$36),"",$B50/$C$36),0)</f>
        <v>900</v>
      </c>
      <c r="F50" s="75">
        <f>IF($B50&gt;(SUM($C50:E50)),IF(ISERROR($B50/$C$36),"",$B50/$C$36),0)</f>
        <v>900</v>
      </c>
      <c r="G50" s="75">
        <f>IF($B50&gt;(SUM($C50:F50)),IF(ISERROR($B50/$C$36),"",$B50/$C$36),0)</f>
        <v>900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4500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0</v>
      </c>
      <c r="C52" s="75">
        <f t="shared" si="0"/>
        <v>0</v>
      </c>
      <c r="D52" s="75">
        <f>IF($B52&gt;(SUM(C52:$C52)),IF(ISERROR($B52/$C$36),"",$B52/$C$36),0)</f>
        <v>0</v>
      </c>
      <c r="E52" s="75">
        <f>IF($B52&gt;(SUM($C52:D52)),IF(ISERROR($B52/$C$36),"",$B52/$C$36),0)</f>
        <v>0</v>
      </c>
      <c r="F52" s="75">
        <f>IF($B52&gt;(SUM($C52:E52)),IF(ISERROR($B52/$C$36),"",$B52/$C$36),0)</f>
        <v>0</v>
      </c>
      <c r="G52" s="75">
        <f>IF($B52&gt;(SUM($C52:F52)),IF(ISERROR($B52/$C$36),"",$B52/$C$36),0)</f>
        <v>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2000</v>
      </c>
      <c r="C53" s="75">
        <f t="shared" si="0"/>
        <v>400</v>
      </c>
      <c r="D53" s="75">
        <f>IF($B53&gt;(SUM(C53:$C53)),IF(ISERROR($B53/$C$36),"",$B53/$C$36),0)</f>
        <v>400</v>
      </c>
      <c r="E53" s="75">
        <f>IF($B53&gt;(SUM($C53:D53)),IF(ISERROR($B53/$C$36),"",$B53/$C$36),0)</f>
        <v>400</v>
      </c>
      <c r="F53" s="75">
        <f>IF($B53&gt;(SUM($C53:E53)),IF(ISERROR($B53/$C$36),"",$B53/$C$36),0)</f>
        <v>400</v>
      </c>
      <c r="G53" s="75">
        <f>IF($B53&gt;(SUM($C53:F53)),IF(ISERROR($B53/$C$36),"",$B53/$C$36),0)</f>
        <v>400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2000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300</v>
      </c>
      <c r="D54" s="75">
        <f>IF($B54&gt;(SUM(C54:$C54)),IF(ISERROR($B54/$C$36),"",$B54/$C$36),0)</f>
        <v>300</v>
      </c>
      <c r="E54" s="75">
        <f>IF($B54&gt;(SUM($C54:D54)),IF(ISERROR($B54/$C$36),"",$B54/$C$36),0)</f>
        <v>300</v>
      </c>
      <c r="F54" s="75">
        <f>IF($B54&gt;(SUM($C54:E54)),IF(ISERROR($B54/$C$36),"",$B54/$C$36),0)</f>
        <v>300</v>
      </c>
      <c r="G54" s="75">
        <f>IF($B54&gt;(SUM($C54:F54)),IF(ISERROR($B54/$C$36),"",$B54/$C$36),0)</f>
        <v>300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25000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f>B34-B59</f>
        <v>27600</v>
      </c>
      <c r="C61" s="257">
        <v>0.04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52600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377.25905488711982</v>
      </c>
      <c r="C70" s="79">
        <f>B70*D61</f>
        <v>31689.760610518064</v>
      </c>
      <c r="D70" s="82">
        <f>IF(ISERROR(B61/D61),0,B61/D61)</f>
        <v>328.57142857142856</v>
      </c>
      <c r="E70" s="152">
        <f>B70-D70</f>
        <v>48.687626315691261</v>
      </c>
      <c r="F70" s="80">
        <f>E70*D61</f>
        <v>4089.7606105180657</v>
      </c>
      <c r="G70" s="153">
        <f>IF($D61&gt;12,$E70*12,$E70*$D61)</f>
        <v>584.25151578829514</v>
      </c>
      <c r="H70" s="153">
        <f>IF($D61-12&lt;0,0,IF($D61&gt;24,$E70*12,($D61-12)*$E70))</f>
        <v>584.25151578829514</v>
      </c>
      <c r="I70" s="153">
        <f>IF($D61-24&lt;0,0,IF($D61&gt;36,$E70*12,($D61-24)*$E70))</f>
        <v>584.25151578829514</v>
      </c>
      <c r="J70" s="153">
        <f>IF($D61&gt;12,$D70*12,$D70*$D61)</f>
        <v>3942.8571428571427</v>
      </c>
      <c r="K70" s="153">
        <f>IF($D61-12&lt;0,0,IF($D61&gt;24,$D70*12,($D61-12)*$D70))</f>
        <v>3942.8571428571427</v>
      </c>
      <c r="L70" s="153">
        <f>IF($D61-24&lt;0,0,IF($D61&gt;36,$D70*12,($D61-24)*$D70))</f>
        <v>3942.8571428571427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584.25151578829514</v>
      </c>
      <c r="J73" s="203">
        <f t="shared" si="17"/>
        <v>3942.8571428571427</v>
      </c>
      <c r="K73" s="203">
        <f t="shared" si="17"/>
        <v>3942.8571428571427</v>
      </c>
      <c r="L73" s="203">
        <f t="shared" si="17"/>
        <v>3942.8571428571427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600</v>
      </c>
      <c r="C77" s="260">
        <v>650</v>
      </c>
      <c r="D77" s="261">
        <v>700</v>
      </c>
    </row>
    <row r="78" spans="1:12" ht="15.1" customHeight="1" x14ac:dyDescent="0.25">
      <c r="A78" s="276" t="s">
        <v>21</v>
      </c>
      <c r="B78" s="259">
        <v>700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300</v>
      </c>
      <c r="D79" s="261">
        <v>400</v>
      </c>
      <c r="G79" s="233"/>
      <c r="H79" s="233"/>
    </row>
    <row r="80" spans="1:12" ht="15.1" customHeight="1" x14ac:dyDescent="0.25">
      <c r="A80" s="276" t="s">
        <v>263</v>
      </c>
      <c r="B80" s="259">
        <v>1500</v>
      </c>
      <c r="C80" s="260">
        <v>1600</v>
      </c>
      <c r="D80" s="261">
        <v>2000</v>
      </c>
      <c r="G80" s="233"/>
      <c r="H80" s="233"/>
    </row>
    <row r="81" spans="1:8" ht="15.1" customHeight="1" x14ac:dyDescent="0.25">
      <c r="A81" s="276" t="s">
        <v>22</v>
      </c>
      <c r="B81" s="259">
        <v>500</v>
      </c>
      <c r="C81" s="260">
        <v>1600</v>
      </c>
      <c r="D81" s="261">
        <v>2500</v>
      </c>
      <c r="G81" s="233"/>
      <c r="H81" s="233"/>
    </row>
    <row r="82" spans="1:8" ht="15.1" customHeight="1" x14ac:dyDescent="0.25">
      <c r="A82" s="276" t="s">
        <v>5</v>
      </c>
      <c r="B82" s="259">
        <v>1800</v>
      </c>
      <c r="C82" s="260">
        <v>2000</v>
      </c>
      <c r="D82" s="261">
        <v>3500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400</v>
      </c>
      <c r="C84" s="260">
        <v>450</v>
      </c>
      <c r="D84" s="261">
        <v>500</v>
      </c>
      <c r="E84" s="5"/>
      <c r="G84" s="233"/>
      <c r="H84" s="233"/>
    </row>
    <row r="85" spans="1:8" ht="15.1" customHeight="1" x14ac:dyDescent="0.25">
      <c r="A85" s="276" t="s">
        <v>27</v>
      </c>
      <c r="B85" s="259"/>
      <c r="C85" s="260"/>
      <c r="D85" s="261"/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46</v>
      </c>
      <c r="B87" s="259">
        <v>4000</v>
      </c>
      <c r="C87" s="260">
        <v>5000</v>
      </c>
      <c r="D87" s="261">
        <v>8000</v>
      </c>
      <c r="E87" s="5"/>
      <c r="G87" s="233"/>
      <c r="H87" s="233"/>
    </row>
    <row r="88" spans="1:8" x14ac:dyDescent="0.25">
      <c r="A88" s="276" t="s">
        <v>29</v>
      </c>
      <c r="B88" s="259">
        <v>7000</v>
      </c>
      <c r="C88" s="260">
        <v>8000</v>
      </c>
      <c r="D88" s="261">
        <v>17000</v>
      </c>
      <c r="E88" s="5"/>
    </row>
    <row r="89" spans="1:8" x14ac:dyDescent="0.25">
      <c r="A89" s="276" t="s">
        <v>30</v>
      </c>
      <c r="B89" s="259">
        <v>3000</v>
      </c>
      <c r="C89" s="260">
        <v>3100</v>
      </c>
      <c r="D89" s="261">
        <v>3300</v>
      </c>
      <c r="E89" s="5"/>
    </row>
    <row r="90" spans="1:8" x14ac:dyDescent="0.25">
      <c r="A90" s="276" t="s">
        <v>31</v>
      </c>
      <c r="B90" s="259">
        <v>800</v>
      </c>
      <c r="C90" s="260">
        <v>900</v>
      </c>
      <c r="D90" s="261">
        <v>950</v>
      </c>
      <c r="E90" s="5"/>
    </row>
    <row r="91" spans="1:8" x14ac:dyDescent="0.25">
      <c r="A91" s="276" t="s">
        <v>45</v>
      </c>
      <c r="B91" s="259"/>
      <c r="C91" s="260">
        <v>1500</v>
      </c>
      <c r="D91" s="261">
        <v>1600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/>
      <c r="B93" s="259"/>
      <c r="C93" s="260"/>
      <c r="D93" s="261"/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21200</v>
      </c>
      <c r="C97" s="10">
        <f>SUM(C77:C95)</f>
        <v>26770</v>
      </c>
      <c r="D97" s="10">
        <f>SUM(D77:D95)</f>
        <v>42190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21</v>
      </c>
      <c r="C103" s="255">
        <v>100</v>
      </c>
      <c r="D103" s="12">
        <f>B103*C103</f>
        <v>2100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21</v>
      </c>
      <c r="C104" s="255">
        <v>150</v>
      </c>
      <c r="D104" s="12">
        <f t="shared" ref="D104:D114" si="18">B104*C104</f>
        <v>3150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21</v>
      </c>
      <c r="C105" s="255">
        <v>200</v>
      </c>
      <c r="D105" s="12">
        <f t="shared" si="18"/>
        <v>4200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21</v>
      </c>
      <c r="C106" s="255">
        <v>250</v>
      </c>
      <c r="D106" s="12">
        <f t="shared" si="18"/>
        <v>5250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21</v>
      </c>
      <c r="C107" s="255">
        <v>350</v>
      </c>
      <c r="D107" s="12">
        <f t="shared" si="18"/>
        <v>7350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21</v>
      </c>
      <c r="C108" s="255">
        <v>400</v>
      </c>
      <c r="D108" s="12">
        <f t="shared" si="18"/>
        <v>8400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21</v>
      </c>
      <c r="C109" s="255">
        <v>450</v>
      </c>
      <c r="D109" s="12">
        <f t="shared" si="18"/>
        <v>9450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21</v>
      </c>
      <c r="C110" s="255">
        <v>500</v>
      </c>
      <c r="D110" s="12">
        <f t="shared" si="18"/>
        <v>10500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21</v>
      </c>
      <c r="C111" s="255">
        <v>550</v>
      </c>
      <c r="D111" s="12">
        <f t="shared" si="18"/>
        <v>11550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21</v>
      </c>
      <c r="C112" s="255">
        <v>580</v>
      </c>
      <c r="D112" s="12">
        <f t="shared" si="18"/>
        <v>12180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21</v>
      </c>
      <c r="C113" s="255">
        <v>580</v>
      </c>
      <c r="D113" s="12">
        <f t="shared" si="18"/>
        <v>12180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10</v>
      </c>
      <c r="C114" s="255">
        <v>580</v>
      </c>
      <c r="D114" s="12">
        <f t="shared" si="18"/>
        <v>5800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92110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1.2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0.8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184</v>
      </c>
      <c r="D123" s="264">
        <v>0.4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30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/>
      <c r="C133" s="260">
        <v>10000</v>
      </c>
      <c r="D133" s="261">
        <v>24000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15000</v>
      </c>
      <c r="C134" s="260">
        <v>30000</v>
      </c>
      <c r="D134" s="261">
        <v>45000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7200</v>
      </c>
      <c r="D139" s="73">
        <f>D133*0.72</f>
        <v>17280</v>
      </c>
      <c r="F139" t="s">
        <v>90</v>
      </c>
      <c r="G139" s="245">
        <f>B133*0.72</f>
        <v>0</v>
      </c>
      <c r="H139" s="246">
        <f>C133*0.72</f>
        <v>7200</v>
      </c>
      <c r="I139" s="73">
        <f>D133*0.72</f>
        <v>17280</v>
      </c>
    </row>
    <row r="140" spans="1:9" ht="15.1" hidden="1" customHeight="1" x14ac:dyDescent="0.25">
      <c r="A140" t="s">
        <v>1</v>
      </c>
      <c r="B140" s="71">
        <f>+'Plan financier à imprimer'!AG11*12.6%</f>
        <v>11605.86</v>
      </c>
      <c r="C140" s="71">
        <f>+'Plan financier à imprimer'!AH11*12.6%</f>
        <v>25532.892</v>
      </c>
      <c r="D140" s="71">
        <f>+'Plan financier à imprimer'!AI11*12.6%</f>
        <v>45959.205599999994</v>
      </c>
      <c r="E140" s="93" t="s">
        <v>132</v>
      </c>
      <c r="F140" t="s">
        <v>1</v>
      </c>
      <c r="G140" s="245">
        <f>+'Plan financier à imprimer'!AG11*6.3%</f>
        <v>5802.93</v>
      </c>
      <c r="H140" s="247">
        <f>+'Plan financier à imprimer'!AH11*12.6%</f>
        <v>25532.892</v>
      </c>
      <c r="I140" s="71">
        <f>+'Plan financier à imprimer'!AI11*12.6%</f>
        <v>45959.205599999994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9408.5245452635118</v>
      </c>
      <c r="C142" s="71">
        <f>IF('Plan financier à imprimer'!AH52*30%&lt;3456,3456,'Plan financier à imprimer'!AH52*30%)</f>
        <v>22473.284545263508</v>
      </c>
      <c r="D142" s="71">
        <f>IF('Plan financier à imprimer'!AI52*30%&lt;3456,3456,'Plan financier à imprimer'!AI52*30%)</f>
        <v>39803.732545263505</v>
      </c>
      <c r="F142" t="s">
        <v>110</v>
      </c>
      <c r="G142" s="245">
        <v>1305</v>
      </c>
      <c r="H142" s="248">
        <f>IF('Plan financier à imprimer'!AH52*32%&lt;3456,3456,'Plan financier à imprimer'!AH52*32%)</f>
        <v>23971.503514947744</v>
      </c>
      <c r="I142" s="72">
        <f>IF('Plan financier à imprimer'!AI52*32%&lt;3456,3456,'Plan financier à imprimer'!AI52*32%)</f>
        <v>42457.314714947745</v>
      </c>
    </row>
    <row r="143" spans="1:9" ht="15.75" hidden="1" customHeight="1" x14ac:dyDescent="0.25">
      <c r="A143" t="s">
        <v>109</v>
      </c>
      <c r="B143" s="71">
        <f>IF(B134*45%&lt;3456,3456,B134*45%)</f>
        <v>6750</v>
      </c>
      <c r="C143" s="71">
        <f>IF(C134*45%&lt;3456,3456,C134*45%)</f>
        <v>13500</v>
      </c>
      <c r="D143" s="71">
        <f>IF(D134*45%&lt;3456,3456,D134*45%)</f>
        <v>20250</v>
      </c>
      <c r="F143" t="s">
        <v>109</v>
      </c>
      <c r="G143" s="245">
        <v>1305</v>
      </c>
      <c r="H143" s="248">
        <f>IF(C134*45%&lt;3456,3456,C134*45%)</f>
        <v>13500</v>
      </c>
      <c r="I143" s="72">
        <f>IF(D134*45%&lt;3456,3456,D134*45%)</f>
        <v>20250</v>
      </c>
    </row>
    <row r="144" spans="1:9" ht="15.1" hidden="1" x14ac:dyDescent="0.25">
      <c r="A144" t="s">
        <v>111</v>
      </c>
      <c r="B144" s="71">
        <f>IF(B134*45%&lt;3456,3456,B134*45%)</f>
        <v>6750</v>
      </c>
      <c r="C144" s="71">
        <f>IF(C134*45%&lt;3456,3456,C134*45%)</f>
        <v>13500</v>
      </c>
      <c r="D144" s="71">
        <f>IF(D134*45%&lt;3456,3456,D134*45%)</f>
        <v>20250</v>
      </c>
      <c r="F144" t="s">
        <v>111</v>
      </c>
      <c r="G144" s="245">
        <v>1305</v>
      </c>
      <c r="H144" s="248">
        <f>IF(C134*45%&lt;3456,3456,C134*45%)</f>
        <v>13500</v>
      </c>
      <c r="I144" s="72">
        <f>IF(D134*45%&lt;3456,3456,D134*45%)</f>
        <v>20250</v>
      </c>
    </row>
    <row r="145" spans="1:9" ht="15.1" hidden="1" x14ac:dyDescent="0.25">
      <c r="A145" t="s">
        <v>112</v>
      </c>
      <c r="B145" s="71">
        <f>B134*70%</f>
        <v>10500</v>
      </c>
      <c r="C145" s="71">
        <f t="shared" ref="C145:D145" si="20">C134*70%</f>
        <v>21000</v>
      </c>
      <c r="D145" s="71">
        <f t="shared" si="20"/>
        <v>31499.999999999996</v>
      </c>
      <c r="F145" t="s">
        <v>112</v>
      </c>
      <c r="G145" s="245">
        <f>B134*33%</f>
        <v>4950</v>
      </c>
      <c r="H145" s="245">
        <f>C134*70%</f>
        <v>21000</v>
      </c>
      <c r="I145" s="245">
        <f>D134*70%</f>
        <v>31499.999999999996</v>
      </c>
    </row>
    <row r="146" spans="1:9" ht="15.1" hidden="1" x14ac:dyDescent="0.25">
      <c r="A146" t="s">
        <v>113</v>
      </c>
      <c r="B146" s="71">
        <f>B134*70%</f>
        <v>10500</v>
      </c>
      <c r="C146" s="71">
        <f t="shared" ref="C146:D146" si="21">C134*70%</f>
        <v>21000</v>
      </c>
      <c r="D146" s="71">
        <f t="shared" si="21"/>
        <v>31499.999999999996</v>
      </c>
      <c r="F146" t="s">
        <v>113</v>
      </c>
      <c r="G146" s="245">
        <f>B134*33%</f>
        <v>4950</v>
      </c>
      <c r="H146" s="245">
        <f>C134*70%</f>
        <v>21000</v>
      </c>
      <c r="I146" s="245">
        <f>D134*70%</f>
        <v>31499.999999999996</v>
      </c>
    </row>
    <row r="147" spans="1:9" ht="15.1" hidden="1" x14ac:dyDescent="0.25">
      <c r="A147" s="1" t="s">
        <v>108</v>
      </c>
      <c r="B147" s="73">
        <f>SUMIF($A$140:$A$146,$B$8,B140:B146)</f>
        <v>10500</v>
      </c>
      <c r="C147" s="73">
        <f>SUMIF($A$140:$A$146,$B$8,C140:C146)</f>
        <v>21000</v>
      </c>
      <c r="D147" s="73">
        <f>SUMIF($A$140:$A$146,$B$8,D140:D146)</f>
        <v>31499.999999999996</v>
      </c>
      <c r="F147" s="1" t="s">
        <v>108</v>
      </c>
      <c r="G147" s="245">
        <f>SUMIF($A$140:$A$146,$B$8,G140:G146)</f>
        <v>4950</v>
      </c>
      <c r="H147" s="246">
        <f>SUMIF($A$140:$A$146,$B$8,H140:H146)</f>
        <v>21000</v>
      </c>
      <c r="I147" s="246">
        <f>SUMIF($A$140:$A$146,$B$8,I140:I146)</f>
        <v>31499.999999999996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135</v>
      </c>
      <c r="L2" s="295"/>
      <c r="M2" s="295"/>
      <c r="N2" s="295"/>
      <c r="O2" s="295"/>
      <c r="P2" s="295"/>
      <c r="Q2" s="296"/>
      <c r="T2" s="294" t="s">
        <v>140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152</v>
      </c>
      <c r="AM2" s="295"/>
      <c r="AN2" s="295"/>
      <c r="AO2" s="295"/>
      <c r="AP2" s="295"/>
      <c r="AQ2" s="295"/>
      <c r="AR2" s="295"/>
      <c r="AS2" s="295"/>
      <c r="AT2" s="296"/>
      <c r="AW2" s="294" t="s">
        <v>176</v>
      </c>
      <c r="AX2" s="295"/>
      <c r="AY2" s="295"/>
      <c r="AZ2" s="295"/>
      <c r="BA2" s="295"/>
      <c r="BB2" s="295"/>
      <c r="BC2" s="296"/>
      <c r="BF2" s="294" t="s">
        <v>193</v>
      </c>
      <c r="BG2" s="295"/>
      <c r="BH2" s="295"/>
      <c r="BI2" s="295"/>
      <c r="BJ2" s="295"/>
      <c r="BK2" s="295"/>
      <c r="BL2" s="296"/>
      <c r="BO2" s="294" t="s">
        <v>209</v>
      </c>
      <c r="BP2" s="295"/>
      <c r="BQ2" s="295"/>
      <c r="BR2" s="295"/>
      <c r="BS2" s="295"/>
      <c r="BT2" s="295"/>
      <c r="BU2" s="295"/>
      <c r="BV2" s="296"/>
      <c r="BY2" s="294" t="s">
        <v>218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Vente en ligne</v>
      </c>
      <c r="T6" s="1" t="s">
        <v>68</v>
      </c>
      <c r="V6" s="3" t="str">
        <f>IF(ISBLANK('Données à saisir'!$B7),"",('Données à saisir'!$B7))</f>
        <v>Vente en ligne</v>
      </c>
      <c r="AC6" s="1" t="s">
        <v>68</v>
      </c>
      <c r="AE6" s="3" t="str">
        <f>IF(ISBLANK('Données à saisir'!$B7),"",('Données à saisir'!$B7))</f>
        <v>Vente en ligne</v>
      </c>
      <c r="AL6" s="1" t="s">
        <v>68</v>
      </c>
      <c r="AN6" s="3" t="str">
        <f>IF(ISBLANK('Données à saisir'!$B7),"",('Données à saisir'!$B7))</f>
        <v>Vente en ligne</v>
      </c>
      <c r="AW6" s="1" t="s">
        <v>68</v>
      </c>
      <c r="AY6" s="3" t="str">
        <f>IF(ISBLANK('Données à saisir'!$B7),"",('Données à saisir'!$B7))</f>
        <v>Vente en ligne</v>
      </c>
      <c r="BF6" s="1" t="s">
        <v>68</v>
      </c>
      <c r="BH6" s="3" t="str">
        <f>IF(ISBLANK('Données à saisir'!$B7),"",('Données à saisir'!$B7))</f>
        <v>Vente en ligne</v>
      </c>
      <c r="BO6" s="1" t="s">
        <v>68</v>
      </c>
      <c r="BQ6" s="3" t="str">
        <f>IF(ISBLANK('Données à saisir'!$B7),"",('Données à saisir'!$B7))</f>
        <v>Vente en ligne</v>
      </c>
      <c r="BV6" s="193" t="s">
        <v>216</v>
      </c>
      <c r="BY6" s="1" t="s">
        <v>68</v>
      </c>
      <c r="CA6" s="3" t="str">
        <f>IF(ISBLANK('Données à saisir'!$B7),"",('Données à saisir'!$B7))</f>
        <v>Vente en ligne</v>
      </c>
      <c r="CF6" s="193" t="s">
        <v>216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136</v>
      </c>
      <c r="L9" s="328"/>
      <c r="M9" s="328"/>
      <c r="N9" s="328"/>
      <c r="O9" s="328"/>
      <c r="P9" s="328"/>
      <c r="Q9" s="325" t="s">
        <v>74</v>
      </c>
      <c r="U9" s="1" t="s">
        <v>141</v>
      </c>
      <c r="X9" t="str">
        <f>C33</f>
        <v>SASU (IS)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92110</v>
      </c>
      <c r="AH10" s="60">
        <f t="shared" ref="AH10:AI10" si="0">SUM(AH11:AH12)</f>
        <v>202642</v>
      </c>
      <c r="AI10" s="226">
        <f t="shared" si="0"/>
        <v>364755.6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92110</v>
      </c>
      <c r="AH11" s="62">
        <f>AG11+AG11*'Données à saisir'!D117</f>
        <v>202642</v>
      </c>
      <c r="AI11" s="54">
        <f>AH11+AH11*'Données à saisir'!D118</f>
        <v>364755.6</v>
      </c>
      <c r="AO11" s="315" t="s">
        <v>41</v>
      </c>
      <c r="AP11" s="305" t="s">
        <v>166</v>
      </c>
      <c r="AQ11" s="305" t="s">
        <v>42</v>
      </c>
      <c r="AR11" s="305" t="s">
        <v>166</v>
      </c>
      <c r="AS11" s="305" t="s">
        <v>43</v>
      </c>
      <c r="AT11" s="317" t="s">
        <v>166</v>
      </c>
      <c r="AW11" s="51" t="s">
        <v>194</v>
      </c>
      <c r="AX11" s="52"/>
      <c r="AY11" s="52"/>
      <c r="AZ11" s="52"/>
      <c r="BA11" s="60">
        <f>AG10</f>
        <v>92110</v>
      </c>
      <c r="BB11" s="60">
        <f>AH10</f>
        <v>202642</v>
      </c>
      <c r="BC11" s="226">
        <f>AI10</f>
        <v>364755.6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4600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36844</v>
      </c>
      <c r="BB12" s="104">
        <f>AQ15</f>
        <v>81056.800000000003</v>
      </c>
      <c r="BC12" s="120">
        <f>AS15</f>
        <v>145902.24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36844</v>
      </c>
      <c r="AH13" s="57">
        <f>AH14</f>
        <v>81056.800000000003</v>
      </c>
      <c r="AI13" s="53">
        <f>AI14</f>
        <v>145902.24</v>
      </c>
      <c r="AL13" s="107" t="s">
        <v>153</v>
      </c>
      <c r="AM13" s="34"/>
      <c r="AN13" s="34"/>
      <c r="AO13" s="119">
        <f>AG10</f>
        <v>92110</v>
      </c>
      <c r="AP13" s="139">
        <v>1</v>
      </c>
      <c r="AQ13" s="119">
        <f>AH10</f>
        <v>202642</v>
      </c>
      <c r="AR13" s="140">
        <v>1</v>
      </c>
      <c r="AS13" s="119">
        <f>AI10</f>
        <v>364755.6</v>
      </c>
      <c r="AT13" s="141">
        <v>1</v>
      </c>
      <c r="AW13" s="123" t="s">
        <v>177</v>
      </c>
      <c r="BA13" s="104">
        <f>BA12</f>
        <v>36844</v>
      </c>
      <c r="BB13" s="104">
        <f t="shared" ref="BB13:BC13" si="1">BB12</f>
        <v>81056.800000000003</v>
      </c>
      <c r="BC13" s="120">
        <f t="shared" si="1"/>
        <v>145902.24</v>
      </c>
      <c r="BF13" s="50"/>
      <c r="BJ13" s="304"/>
      <c r="BK13" s="306"/>
      <c r="BL13" s="308"/>
      <c r="BR13" s="303" t="s">
        <v>210</v>
      </c>
      <c r="BS13" s="305" t="s">
        <v>211</v>
      </c>
      <c r="BT13" s="305" t="s">
        <v>212</v>
      </c>
      <c r="BU13" s="305" t="s">
        <v>217</v>
      </c>
      <c r="BV13" s="307" t="s">
        <v>219</v>
      </c>
      <c r="BY13" s="303" t="s">
        <v>220</v>
      </c>
      <c r="BZ13" s="305" t="s">
        <v>221</v>
      </c>
      <c r="CA13" s="305" t="s">
        <v>222</v>
      </c>
      <c r="CB13" s="305" t="s">
        <v>223</v>
      </c>
      <c r="CC13" s="305" t="s">
        <v>224</v>
      </c>
      <c r="CD13" s="305" t="s">
        <v>225</v>
      </c>
      <c r="CE13" s="309" t="s">
        <v>226</v>
      </c>
      <c r="CF13" s="311" t="s">
        <v>48</v>
      </c>
    </row>
    <row r="14" spans="2:84" ht="15.1" customHeight="1" x14ac:dyDescent="0.25">
      <c r="B14" s="321" t="s">
        <v>249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36844</v>
      </c>
      <c r="AH14" s="62">
        <f>'Données à saisir'!$D$123*'Plan financier à imprimer'!AH11</f>
        <v>81056.800000000003</v>
      </c>
      <c r="AI14" s="54">
        <f>'Données à saisir'!$D$123*'Plan financier à imprimer'!AI11</f>
        <v>145902.24</v>
      </c>
      <c r="AL14" s="38" t="s">
        <v>154</v>
      </c>
      <c r="AO14" s="104">
        <f>AG10</f>
        <v>92110</v>
      </c>
      <c r="AP14" s="142">
        <v>1</v>
      </c>
      <c r="AQ14" s="104">
        <f>AH10</f>
        <v>202642</v>
      </c>
      <c r="AR14" s="143">
        <v>1</v>
      </c>
      <c r="AS14" s="104">
        <f>AI10</f>
        <v>364755.6</v>
      </c>
      <c r="AT14" s="144">
        <v>1</v>
      </c>
      <c r="AW14" s="123" t="s">
        <v>178</v>
      </c>
      <c r="BA14" s="57">
        <f>BA11-BA13</f>
        <v>55266</v>
      </c>
      <c r="BB14" s="57">
        <f t="shared" ref="BB14:BC14" si="2">BB11-BB13</f>
        <v>121585.2</v>
      </c>
      <c r="BC14" s="53">
        <f t="shared" si="2"/>
        <v>218853.36</v>
      </c>
      <c r="BF14" s="186" t="s">
        <v>201</v>
      </c>
      <c r="BG14" s="52"/>
      <c r="BH14" s="52"/>
      <c r="BI14" s="52"/>
      <c r="BJ14" s="187">
        <f>Q12+Q23</f>
        <v>12600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800</v>
      </c>
      <c r="T15" s="51" t="s">
        <v>145</v>
      </c>
      <c r="U15" s="52"/>
      <c r="V15" s="52"/>
      <c r="W15" s="52"/>
      <c r="X15" s="60">
        <f>'Données à saisir'!B134</f>
        <v>15000</v>
      </c>
      <c r="Y15" s="60">
        <f>'Données à saisir'!C134</f>
        <v>30000</v>
      </c>
      <c r="Z15" s="61">
        <f>'Données à saisir'!D134</f>
        <v>45000</v>
      </c>
      <c r="AC15" s="67"/>
      <c r="AG15" s="62"/>
      <c r="AH15" s="62"/>
      <c r="AI15" s="69"/>
      <c r="AL15" s="70" t="s">
        <v>80</v>
      </c>
      <c r="AO15" s="104">
        <f>AG14</f>
        <v>36844</v>
      </c>
      <c r="AP15" s="145">
        <f>AO15/$AO$14</f>
        <v>0.4</v>
      </c>
      <c r="AQ15" s="104">
        <f>AH14</f>
        <v>81056.800000000003</v>
      </c>
      <c r="AR15" s="145">
        <f>AQ15/$AQ$14</f>
        <v>0.4</v>
      </c>
      <c r="AS15" s="104">
        <f>AI14</f>
        <v>145902.24</v>
      </c>
      <c r="AT15" s="146">
        <f>AS15/$AS$14</f>
        <v>0.4</v>
      </c>
      <c r="AW15" s="63" t="s">
        <v>195</v>
      </c>
      <c r="AX15" s="64"/>
      <c r="AY15" s="64"/>
      <c r="AZ15" s="64"/>
      <c r="BA15" s="154">
        <f>IF(ISERROR(BA14/BA11),0,BA14/BA11)</f>
        <v>0.6</v>
      </c>
      <c r="BB15" s="154">
        <f t="shared" ref="BB15:BC15" si="3">IF(ISERROR(BB14/BB11),0,BB14/BB11)</f>
        <v>0.6</v>
      </c>
      <c r="BC15" s="158">
        <f t="shared" si="3"/>
        <v>0.6</v>
      </c>
      <c r="BF15" s="123" t="s">
        <v>266</v>
      </c>
      <c r="BJ15" s="104">
        <f>Q30</f>
        <v>30000</v>
      </c>
      <c r="BK15" s="104"/>
      <c r="BL15" s="120"/>
      <c r="BO15" s="192" t="s">
        <v>202</v>
      </c>
      <c r="BP15" s="52"/>
      <c r="BQ15" s="52"/>
      <c r="BR15" s="187">
        <f>BJ19</f>
        <v>25000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25000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1</v>
      </c>
      <c r="Z16" s="103">
        <f>IF(ISERROR((Z15-Y15)/Y15),"",(Z15-Y15)/Y15)</f>
        <v>0.5</v>
      </c>
      <c r="AC16" s="63" t="s">
        <v>127</v>
      </c>
      <c r="AD16" s="64"/>
      <c r="AE16" s="64"/>
      <c r="AF16" s="64"/>
      <c r="AG16" s="65">
        <f>AG10-AG13</f>
        <v>55266</v>
      </c>
      <c r="AH16" s="65">
        <f>AH10-AH13</f>
        <v>121585.2</v>
      </c>
      <c r="AI16" s="66">
        <f>AI10-AI13</f>
        <v>218853.36</v>
      </c>
      <c r="AL16" s="63" t="s">
        <v>156</v>
      </c>
      <c r="AM16" s="64"/>
      <c r="AN16" s="64"/>
      <c r="AO16" s="65">
        <f>AO14-AO15</f>
        <v>55266</v>
      </c>
      <c r="AP16" s="147">
        <f t="shared" ref="AP16:AP28" si="5">AO16/$AO$14</f>
        <v>0.6</v>
      </c>
      <c r="AQ16" s="65">
        <f t="shared" ref="AQ16:AS16" si="6">AQ14-AQ15</f>
        <v>121585.2</v>
      </c>
      <c r="AR16" s="148">
        <f t="shared" ref="AR16:AR28" si="7">AQ16/$AQ$14</f>
        <v>0.6</v>
      </c>
      <c r="AS16" s="65">
        <f t="shared" si="6"/>
        <v>218853.36</v>
      </c>
      <c r="AT16" s="150">
        <f t="shared" ref="AT16:AT28" si="8">AS16/$AS$14</f>
        <v>0.6</v>
      </c>
      <c r="AW16" s="123" t="s">
        <v>179</v>
      </c>
      <c r="BA16" s="104">
        <f>SUM(AO17,AO19,AO20,AO22,AO24)</f>
        <v>43854.251515788295</v>
      </c>
      <c r="BB16" s="104">
        <f>SUM(AQ17,AQ19,AQ20,AQ22,AQ24)</f>
        <v>97674.251515788288</v>
      </c>
      <c r="BC16" s="159">
        <f>SUM(AS17,AS19,AS20,AS22,AS24)</f>
        <v>162674.25151578829</v>
      </c>
      <c r="BF16" s="123" t="s">
        <v>199</v>
      </c>
      <c r="BJ16" s="104">
        <f>BA39</f>
        <v>-3028.2739726027398</v>
      </c>
      <c r="BK16" s="104">
        <f>BB39-BA39</f>
        <v>-3633.9287671232873</v>
      </c>
      <c r="BL16" s="120">
        <f>+BC39-BB39</f>
        <v>-5329.7621917808219</v>
      </c>
      <c r="BO16" s="123" t="s">
        <v>203</v>
      </c>
      <c r="BR16" s="104">
        <f>BJ20</f>
        <v>27600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27600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4950</v>
      </c>
      <c r="Y17" s="57">
        <f>AH40</f>
        <v>21000</v>
      </c>
      <c r="Z17" s="53">
        <f>AI40</f>
        <v>31499.999999999996</v>
      </c>
      <c r="AC17" s="37" t="s">
        <v>128</v>
      </c>
      <c r="AG17" s="57">
        <f>SUM(AG18:AG33)</f>
        <v>20400</v>
      </c>
      <c r="AH17" s="57">
        <f>SUM(AH18:AH33)</f>
        <v>24370</v>
      </c>
      <c r="AI17" s="68">
        <f>SUM(AI18:AI33)</f>
        <v>39640</v>
      </c>
      <c r="AL17" s="70" t="s">
        <v>81</v>
      </c>
      <c r="AO17" s="104">
        <f>AG17</f>
        <v>20400</v>
      </c>
      <c r="AP17" s="145">
        <f t="shared" si="5"/>
        <v>0.22147432417761373</v>
      </c>
      <c r="AQ17" s="104">
        <f>AH17</f>
        <v>24370</v>
      </c>
      <c r="AR17" s="149">
        <f t="shared" si="7"/>
        <v>0.12026134759822742</v>
      </c>
      <c r="AS17" s="104">
        <f>AI17</f>
        <v>39640</v>
      </c>
      <c r="AT17" s="146">
        <f t="shared" si="8"/>
        <v>0.10867550765498872</v>
      </c>
      <c r="AW17" s="63" t="s">
        <v>196</v>
      </c>
      <c r="AX17" s="64"/>
      <c r="AY17" s="64"/>
      <c r="AZ17" s="64"/>
      <c r="BA17" s="65">
        <f>BA12+BA16</f>
        <v>80698.251515788288</v>
      </c>
      <c r="BB17" s="65">
        <f t="shared" ref="BB17:BC17" si="9">BB12+BB16</f>
        <v>178731.05151578831</v>
      </c>
      <c r="BC17" s="66">
        <f t="shared" si="9"/>
        <v>308576.49151578825</v>
      </c>
      <c r="BF17" s="123" t="s">
        <v>200</v>
      </c>
      <c r="BJ17" s="104">
        <f>AO45</f>
        <v>3942.8571428571427</v>
      </c>
      <c r="BK17" s="104">
        <f>AQ45</f>
        <v>3942.8571428571427</v>
      </c>
      <c r="BL17" s="120">
        <f>AS45</f>
        <v>3942.8571428571427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600</v>
      </c>
      <c r="AH18" s="62">
        <f>IF(ISBLANK('Données à saisir'!C77),0,'Données à saisir'!C77)</f>
        <v>650</v>
      </c>
      <c r="AI18" s="54">
        <f>IF(ISBLANK('Données à saisir'!D77),0,'Données à saisir'!D77)</f>
        <v>700</v>
      </c>
      <c r="AL18" s="63" t="s">
        <v>129</v>
      </c>
      <c r="AM18" s="64"/>
      <c r="AN18" s="64"/>
      <c r="AO18" s="65">
        <f>AO16-AO17</f>
        <v>34866</v>
      </c>
      <c r="AP18" s="147">
        <f t="shared" si="5"/>
        <v>0.37852567582238628</v>
      </c>
      <c r="AQ18" s="65">
        <f t="shared" ref="AQ18:AS18" si="10">AQ16-AQ17</f>
        <v>97215.2</v>
      </c>
      <c r="AR18" s="148">
        <f t="shared" si="7"/>
        <v>0.47973865240177255</v>
      </c>
      <c r="AS18" s="65">
        <f t="shared" si="10"/>
        <v>179213.36</v>
      </c>
      <c r="AT18" s="150">
        <f t="shared" si="8"/>
        <v>0.4913244923450113</v>
      </c>
      <c r="AW18" s="123" t="s">
        <v>180</v>
      </c>
      <c r="BA18" s="104">
        <f>AG44</f>
        <v>11411.748484211705</v>
      </c>
      <c r="BB18" s="104">
        <f>AH44</f>
        <v>23910.948484211702</v>
      </c>
      <c r="BC18" s="159">
        <f>AI44</f>
        <v>56179.108484211691</v>
      </c>
      <c r="BF18" s="63" t="s">
        <v>198</v>
      </c>
      <c r="BG18" s="64"/>
      <c r="BH18" s="64"/>
      <c r="BI18" s="64"/>
      <c r="BJ18" s="188">
        <f>SUM(BJ14:BJ17)</f>
        <v>43514.583170254402</v>
      </c>
      <c r="BK18" s="189">
        <f>SUM(BK14:BK17)</f>
        <v>308.92837573385532</v>
      </c>
      <c r="BL18" s="190">
        <f>SUM(BL14:BL17)</f>
        <v>-1386.9050489236793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0</v>
      </c>
      <c r="Y19" s="60">
        <f>'Données à saisir'!C133</f>
        <v>10000</v>
      </c>
      <c r="Z19" s="61">
        <f>'Données à saisir'!D133</f>
        <v>24000</v>
      </c>
      <c r="AC19" s="44" t="str">
        <f>'Données à saisir'!A78</f>
        <v>Téléphone, internet</v>
      </c>
      <c r="AG19" s="62">
        <f>IF(ISBLANK('Données à saisir'!B78),0,'Données à saisir'!B78)</f>
        <v>700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1500</v>
      </c>
      <c r="AR19" s="149">
        <f t="shared" si="7"/>
        <v>7.402216717166234E-3</v>
      </c>
      <c r="AS19" s="104">
        <f>AI36</f>
        <v>1600</v>
      </c>
      <c r="AT19" s="146">
        <f t="shared" si="8"/>
        <v>4.3864987953577683E-3</v>
      </c>
      <c r="AW19" s="63" t="s">
        <v>197</v>
      </c>
      <c r="AX19" s="64"/>
      <c r="AY19" s="64"/>
      <c r="AZ19" s="64"/>
      <c r="BA19" s="65">
        <f>IF(ISERROR(BA16/BA15),0,BA16/BA15)</f>
        <v>73090.419192980495</v>
      </c>
      <c r="BB19" s="65">
        <f t="shared" ref="BB19:BC19" si="11">IF(ISERROR(BB16/BB15),0,BB16/BB15)</f>
        <v>162790.41919298048</v>
      </c>
      <c r="BC19" s="66">
        <f t="shared" si="11"/>
        <v>271123.75252631382</v>
      </c>
      <c r="BF19" s="123" t="s">
        <v>202</v>
      </c>
      <c r="BJ19" s="104">
        <f>Q37</f>
        <v>25000</v>
      </c>
      <c r="BK19" s="104"/>
      <c r="BL19" s="159"/>
      <c r="BO19" s="192" t="s">
        <v>213</v>
      </c>
      <c r="BP19" s="34"/>
      <c r="BQ19" s="34"/>
      <c r="BR19" s="119">
        <f>'Données à saisir'!D103</f>
        <v>2100</v>
      </c>
      <c r="BS19" s="119">
        <f>'Données à saisir'!D104</f>
        <v>3150</v>
      </c>
      <c r="BT19" s="119">
        <f>'Données à saisir'!D105</f>
        <v>4200</v>
      </c>
      <c r="BU19" s="119">
        <f>'Données à saisir'!D106</f>
        <v>5250</v>
      </c>
      <c r="BV19" s="209">
        <f>'Données à saisir'!D107</f>
        <v>7350</v>
      </c>
      <c r="BY19" s="210">
        <f>'Données à saisir'!D108</f>
        <v>8400</v>
      </c>
      <c r="BZ19" s="119">
        <f>'Données à saisir'!D109</f>
        <v>9450</v>
      </c>
      <c r="CA19" s="119">
        <f>'Données à saisir'!D110</f>
        <v>10500</v>
      </c>
      <c r="CB19" s="119">
        <f>'Données à saisir'!D111</f>
        <v>11550</v>
      </c>
      <c r="CC19" s="119">
        <f>'Données à saisir'!D112</f>
        <v>12180</v>
      </c>
      <c r="CD19" s="119">
        <f>'Données à saisir'!D113</f>
        <v>12180</v>
      </c>
      <c r="CE19" s="211">
        <f>'Données à saisir'!D114</f>
        <v>5800</v>
      </c>
      <c r="CF19" s="213">
        <f>SUM(BR19:CE19)</f>
        <v>92110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2000</v>
      </c>
      <c r="T20" s="44"/>
      <c r="U20" s="3" t="s">
        <v>142</v>
      </c>
      <c r="X20" s="62"/>
      <c r="Y20" s="102" t="str">
        <f>IF(ISERROR((Y19-X19)/X19),"",(Y19-X19)/X19)</f>
        <v/>
      </c>
      <c r="Z20" s="103">
        <f>IF(ISERROR((Z19-Y19)/Y19),"",(Z19-Y19)/Y19)</f>
        <v>1.4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300</v>
      </c>
      <c r="AI20" s="54">
        <f>IF(ISBLANK('Données à saisir'!D79),0,'Données à saisir'!D79)</f>
        <v>400</v>
      </c>
      <c r="AL20" s="38" t="s">
        <v>155</v>
      </c>
      <c r="AM20" s="1"/>
      <c r="AN20" s="1"/>
      <c r="AO20" s="104">
        <f>SUM(AG37:AG40)</f>
        <v>19950</v>
      </c>
      <c r="AP20" s="145">
        <f t="shared" si="5"/>
        <v>0.216588861144284</v>
      </c>
      <c r="AQ20" s="104">
        <f>SUM(AH37:AH40)</f>
        <v>68200</v>
      </c>
      <c r="AR20" s="149">
        <f t="shared" si="7"/>
        <v>0.33655412007382479</v>
      </c>
      <c r="AS20" s="104">
        <f>SUM(AI37:AI40)</f>
        <v>117780</v>
      </c>
      <c r="AT20" s="146">
        <f t="shared" si="8"/>
        <v>0.32290114257327374</v>
      </c>
      <c r="AW20" s="123" t="s">
        <v>181</v>
      </c>
      <c r="BA20" s="104">
        <f>BA11-BA19</f>
        <v>19019.580807019505</v>
      </c>
      <c r="BB20" s="104">
        <f t="shared" ref="BB20:BC20" si="12">BB11-BB19</f>
        <v>39851.58080701952</v>
      </c>
      <c r="BC20" s="120">
        <f t="shared" si="12"/>
        <v>93631.847473686154</v>
      </c>
      <c r="BF20" s="123" t="s">
        <v>203</v>
      </c>
      <c r="BJ20" s="104">
        <f>Q40</f>
        <v>27600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400</v>
      </c>
      <c r="T21" s="37" t="s">
        <v>144</v>
      </c>
      <c r="X21" s="57">
        <f>'Données à saisir'!B139</f>
        <v>0</v>
      </c>
      <c r="Y21" s="57">
        <f>'Données à saisir'!C139</f>
        <v>7200</v>
      </c>
      <c r="Z21" s="53">
        <f>'Données à saisir'!D139</f>
        <v>17280</v>
      </c>
      <c r="AC21" s="44" t="str">
        <f>'Données à saisir'!A80</f>
        <v>Carburant, transports</v>
      </c>
      <c r="AG21" s="62">
        <f>IF(ISBLANK('Données à saisir'!B80),0,'Données à saisir'!B80)</f>
        <v>1500</v>
      </c>
      <c r="AH21" s="62">
        <f>IF(ISBLANK('Données à saisir'!C80),0,'Données à saisir'!C80)</f>
        <v>1600</v>
      </c>
      <c r="AI21" s="54">
        <f>IF(ISBLANK('Données à saisir'!D80),0,'Données à saisir'!D80)</f>
        <v>2000</v>
      </c>
      <c r="AL21" s="63" t="s">
        <v>130</v>
      </c>
      <c r="AM21" s="64"/>
      <c r="AN21" s="64"/>
      <c r="AO21" s="65">
        <f>AO18-AO19-AO20</f>
        <v>14916</v>
      </c>
      <c r="AP21" s="147">
        <f t="shared" si="5"/>
        <v>0.16193681467810228</v>
      </c>
      <c r="AQ21" s="65">
        <f t="shared" ref="AQ21:AS21" si="14">AQ18-AQ19-AQ20</f>
        <v>27515.199999999997</v>
      </c>
      <c r="AR21" s="148">
        <f t="shared" si="7"/>
        <v>0.13578231561078155</v>
      </c>
      <c r="AS21" s="65">
        <f t="shared" si="14"/>
        <v>59833.359999999986</v>
      </c>
      <c r="AT21" s="150">
        <f t="shared" si="8"/>
        <v>0.16403685097637977</v>
      </c>
      <c r="AW21" s="208" t="s">
        <v>182</v>
      </c>
      <c r="AX21" s="36"/>
      <c r="AY21" s="36"/>
      <c r="AZ21" s="36"/>
      <c r="BA21" s="156">
        <f>BA19/250</f>
        <v>292.36167677192196</v>
      </c>
      <c r="BB21" s="156">
        <f t="shared" ref="BB21:BC21" si="15">BB19/250</f>
        <v>651.16167677192198</v>
      </c>
      <c r="BC21" s="157">
        <f t="shared" si="15"/>
        <v>1084.4950101052552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2100</v>
      </c>
      <c r="BS21" s="65">
        <f t="shared" ref="BS21:BV21" si="16">SUM(BS19:BS20)</f>
        <v>3150</v>
      </c>
      <c r="BT21" s="65">
        <f t="shared" si="16"/>
        <v>4200</v>
      </c>
      <c r="BU21" s="65">
        <f t="shared" si="16"/>
        <v>5250</v>
      </c>
      <c r="BV21" s="66">
        <f t="shared" si="16"/>
        <v>7350</v>
      </c>
      <c r="BY21" s="197">
        <f t="shared" ref="BY21:CE21" si="17">SUM(BY19:BY20)</f>
        <v>8400</v>
      </c>
      <c r="BZ21" s="65">
        <f t="shared" si="17"/>
        <v>9450</v>
      </c>
      <c r="CA21" s="65">
        <f t="shared" si="17"/>
        <v>10500</v>
      </c>
      <c r="CB21" s="65">
        <f t="shared" si="17"/>
        <v>11550</v>
      </c>
      <c r="CC21" s="65">
        <f t="shared" si="17"/>
        <v>12180</v>
      </c>
      <c r="CD21" s="65">
        <f t="shared" si="17"/>
        <v>12180</v>
      </c>
      <c r="CE21" s="131">
        <f t="shared" si="17"/>
        <v>5800</v>
      </c>
      <c r="CF21" s="200">
        <f t="shared" si="13"/>
        <v>92110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500</v>
      </c>
      <c r="AH22" s="62">
        <f>IF(ISBLANK('Données à saisir'!C81),0,'Données à saisir'!C81)</f>
        <v>1600</v>
      </c>
      <c r="AI22" s="54">
        <f>IF(ISBLANK('Données à saisir'!D81),0,'Données à saisir'!D81)</f>
        <v>2500</v>
      </c>
      <c r="AL22" s="38" t="s">
        <v>157</v>
      </c>
      <c r="AO22" s="104">
        <f>AG43</f>
        <v>2120</v>
      </c>
      <c r="AP22" s="145">
        <f t="shared" si="5"/>
        <v>2.301595917924221E-2</v>
      </c>
      <c r="AQ22" s="104">
        <f>AH43</f>
        <v>2120</v>
      </c>
      <c r="AR22" s="149">
        <f t="shared" si="7"/>
        <v>1.0461799626928277E-2</v>
      </c>
      <c r="AS22" s="104">
        <f>AI43</f>
        <v>2120</v>
      </c>
      <c r="AT22" s="146">
        <f t="shared" si="8"/>
        <v>5.812110903849043E-3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4600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4600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8000</v>
      </c>
      <c r="AC23" s="44" t="str">
        <f>'Données à saisir'!A82</f>
        <v>Eau, électricité, gaz</v>
      </c>
      <c r="AG23" s="62">
        <f>IF(ISBLANK('Données à saisir'!B82),0,'Données à saisir'!B82)</f>
        <v>1800</v>
      </c>
      <c r="AH23" s="62">
        <f>IF(ISBLANK('Données à saisir'!C82),0,'Données à saisir'!C82)</f>
        <v>2000</v>
      </c>
      <c r="AI23" s="54">
        <f>IF(ISBLANK('Données à saisir'!D82),0,'Données à saisir'!D82)</f>
        <v>3500</v>
      </c>
      <c r="AL23" s="63" t="s">
        <v>158</v>
      </c>
      <c r="AM23" s="64"/>
      <c r="AN23" s="64"/>
      <c r="AO23" s="65">
        <f>AO21-AO22</f>
        <v>12796</v>
      </c>
      <c r="AP23" s="147">
        <f t="shared" si="5"/>
        <v>0.13892085549886005</v>
      </c>
      <c r="AQ23" s="65">
        <f t="shared" ref="AQ23:AS23" si="18">AQ21-AQ22</f>
        <v>25395.199999999997</v>
      </c>
      <c r="AR23" s="148">
        <f t="shared" si="7"/>
        <v>0.12532051598385327</v>
      </c>
      <c r="AS23" s="65">
        <f t="shared" si="18"/>
        <v>57713.359999999986</v>
      </c>
      <c r="AT23" s="150">
        <f t="shared" si="8"/>
        <v>0.15822474007253073</v>
      </c>
      <c r="AW23" s="4"/>
      <c r="BA23" s="99"/>
      <c r="BB23" s="99"/>
      <c r="BC23" s="99"/>
      <c r="BF23" s="123" t="s">
        <v>206</v>
      </c>
      <c r="BJ23" s="104">
        <f>AO44</f>
        <v>11819.98621157995</v>
      </c>
      <c r="BK23" s="104">
        <f>AQ44</f>
        <v>22444.306211579948</v>
      </c>
      <c r="BL23" s="159">
        <f>AS44</f>
        <v>48066.331363158766</v>
      </c>
      <c r="BO23" s="123" t="s">
        <v>70</v>
      </c>
      <c r="BR23" s="104">
        <f>Q23</f>
        <v>8000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8000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4500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1384.2515157882951</v>
      </c>
      <c r="AP24" s="145">
        <f t="shared" si="5"/>
        <v>1.5028243576031865E-2</v>
      </c>
      <c r="AQ24" s="104">
        <f>AH42</f>
        <v>1484.2515157882951</v>
      </c>
      <c r="AR24" s="149">
        <f t="shared" si="7"/>
        <v>7.3245009217649606E-3</v>
      </c>
      <c r="AS24" s="104">
        <f>AI42</f>
        <v>1534.2515157882951</v>
      </c>
      <c r="AT24" s="146">
        <f t="shared" si="8"/>
        <v>4.2062452661132416E-3</v>
      </c>
      <c r="BF24" s="63" t="s">
        <v>207</v>
      </c>
      <c r="BG24" s="64"/>
      <c r="BH24" s="64"/>
      <c r="BI24" s="64"/>
      <c r="BJ24" s="65">
        <f>SUM(BJ19:BJ23)</f>
        <v>64419.986211579948</v>
      </c>
      <c r="BK24" s="65">
        <f>SUM(BK19:BK23)</f>
        <v>22444.306211579948</v>
      </c>
      <c r="BL24" s="66">
        <f>SUM(BL19:BL23)</f>
        <v>48066.331363158766</v>
      </c>
      <c r="BO24" s="63" t="s">
        <v>227</v>
      </c>
      <c r="BP24" s="64"/>
      <c r="BQ24" s="64"/>
      <c r="BR24" s="65">
        <f>SUM(BR22:BR23)</f>
        <v>12600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12600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148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400</v>
      </c>
      <c r="AH25" s="62">
        <f>IF(ISBLANK('Données à saisir'!C84),0,'Données à saisir'!C84)</f>
        <v>450</v>
      </c>
      <c r="AI25" s="54">
        <f>IF(ISBLANK('Données à saisir'!D84),0,'Données à saisir'!D84)</f>
        <v>500</v>
      </c>
      <c r="AL25" s="38" t="s">
        <v>159</v>
      </c>
      <c r="AM25" s="1"/>
      <c r="AN25" s="1"/>
      <c r="AO25" s="104">
        <f>AO24*-1</f>
        <v>-1384.2515157882951</v>
      </c>
      <c r="AP25" s="145">
        <f t="shared" si="5"/>
        <v>-1.5028243576031865E-2</v>
      </c>
      <c r="AQ25" s="104">
        <f t="shared" ref="AQ25:AS25" si="19">AQ24*-1</f>
        <v>-1484.2515157882951</v>
      </c>
      <c r="AR25" s="149">
        <f t="shared" si="7"/>
        <v>-7.3245009217649606E-3</v>
      </c>
      <c r="AS25" s="104">
        <f t="shared" si="19"/>
        <v>-1534.2515157882951</v>
      </c>
      <c r="AT25" s="146">
        <f t="shared" si="8"/>
        <v>-4.2062452661132416E-3</v>
      </c>
      <c r="BA25" s="90"/>
      <c r="BF25" s="123" t="s">
        <v>208</v>
      </c>
      <c r="BJ25" s="104">
        <f>BJ24-BJ18</f>
        <v>20905.403041325546</v>
      </c>
      <c r="BK25" s="104">
        <f>BK24-BK18</f>
        <v>22135.377835846091</v>
      </c>
      <c r="BL25" s="120">
        <f>BL24-BL18</f>
        <v>49453.236412082442</v>
      </c>
      <c r="BO25" s="123" t="s">
        <v>261</v>
      </c>
      <c r="BR25" s="104">
        <f>Q30</f>
        <v>30000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30000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 t="str">
        <f>IF(ISBLANK('Données à saisir'!B29),"",'Données à saisir'!B29)</f>
        <v/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161</v>
      </c>
      <c r="AM26" s="64"/>
      <c r="AN26" s="64"/>
      <c r="AO26" s="65">
        <f>AO23+AO25</f>
        <v>11411.748484211705</v>
      </c>
      <c r="AP26" s="147">
        <f t="shared" si="5"/>
        <v>0.12389261192282819</v>
      </c>
      <c r="AQ26" s="65">
        <f t="shared" ref="AQ26:AS26" si="21">AQ23+AQ25</f>
        <v>23910.948484211702</v>
      </c>
      <c r="AR26" s="148">
        <f t="shared" si="7"/>
        <v>0.11799601506208832</v>
      </c>
      <c r="AS26" s="65">
        <f t="shared" si="21"/>
        <v>56179.108484211691</v>
      </c>
      <c r="AT26" s="150">
        <f t="shared" si="8"/>
        <v>0.15401849480641749</v>
      </c>
      <c r="BF26" s="63" t="s">
        <v>262</v>
      </c>
      <c r="BG26" s="64"/>
      <c r="BH26" s="64"/>
      <c r="BI26" s="64"/>
      <c r="BJ26" s="65">
        <f>BJ25</f>
        <v>20905.403041325546</v>
      </c>
      <c r="BK26" s="65">
        <f>BJ26+BK25</f>
        <v>43040.780877171637</v>
      </c>
      <c r="BL26" s="66">
        <f>+BK26+BL25</f>
        <v>92494.017289254087</v>
      </c>
      <c r="BO26" s="123" t="s">
        <v>228</v>
      </c>
      <c r="BR26" s="104">
        <f>IF(ISERROR('Données à saisir'!$J$73/12),0,'Données à saisir'!$J$73/12)</f>
        <v>328.57142857142856</v>
      </c>
      <c r="BS26" s="104">
        <f>IF(ISERROR('Données à saisir'!$J$73/12),0,'Données à saisir'!$J$73/12)</f>
        <v>328.57142857142856</v>
      </c>
      <c r="BT26" s="104">
        <f>IF(ISERROR('Données à saisir'!$J$73/12),0,'Données à saisir'!$J$73/12)</f>
        <v>328.57142857142856</v>
      </c>
      <c r="BU26" s="104">
        <f>IF(ISERROR('Données à saisir'!$J$73/12),0,'Données à saisir'!$J$73/12)</f>
        <v>328.57142857142856</v>
      </c>
      <c r="BV26" s="120">
        <f>IF(ISERROR('Données à saisir'!$J$73/12),0,'Données à saisir'!$J$73/12)</f>
        <v>328.57142857142856</v>
      </c>
      <c r="BY26" s="196">
        <f>IF(ISERROR('Données à saisir'!$J$73/12),0,'Données à saisir'!$J$73/12)</f>
        <v>328.57142857142856</v>
      </c>
      <c r="BZ26" s="104">
        <f>IF(ISERROR('Données à saisir'!$J$73/12),0,'Données à saisir'!$J$73/12)</f>
        <v>328.57142857142856</v>
      </c>
      <c r="CA26" s="104">
        <f>IF(ISERROR('Données à saisir'!$J$73/12),0,'Données à saisir'!$J$73/12)</f>
        <v>328.57142857142856</v>
      </c>
      <c r="CB26" s="104">
        <f>IF(ISERROR('Données à saisir'!$J$73/12),0,'Données à saisir'!$J$73/12)</f>
        <v>328.57142857142856</v>
      </c>
      <c r="CC26" s="104">
        <f>IF(ISERROR('Données à saisir'!$J$73/12),0,'Données à saisir'!$J$73/12)</f>
        <v>328.57142857142856</v>
      </c>
      <c r="CD26" s="104">
        <f>IF(ISERROR('Données à saisir'!$J$73/12),0,'Données à saisir'!$J$73/12)</f>
        <v>328.57142857142856</v>
      </c>
      <c r="CE26" s="132">
        <f>IF(ISERROR('Données à saisir'!$J$73/12),0,'Données à saisir'!$J$73/12)</f>
        <v>328.57142857142856</v>
      </c>
      <c r="CF26" s="201">
        <f t="shared" si="20"/>
        <v>3942.8571428571418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2000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162</v>
      </c>
      <c r="AM27" s="64"/>
      <c r="AN27" s="64"/>
      <c r="AO27" s="65">
        <f>IF(ISERROR(AO26-AG45),AO26,(AO26-AG45))</f>
        <v>9699.9862115799497</v>
      </c>
      <c r="AP27" s="147">
        <f t="shared" si="5"/>
        <v>0.10530872013440397</v>
      </c>
      <c r="AQ27" s="65">
        <f>IF(ISERROR(AQ26-AH45),AQ26,(AQ26-AH45))</f>
        <v>20324.306211579948</v>
      </c>
      <c r="AR27" s="148">
        <f t="shared" si="7"/>
        <v>0.10029661280277508</v>
      </c>
      <c r="AS27" s="65">
        <f>IF(ISERROR(AS26-AI45),AS26,(AS26-AI45))</f>
        <v>45946.331363158766</v>
      </c>
      <c r="AT27" s="150">
        <f t="shared" si="8"/>
        <v>0.125964704484753</v>
      </c>
      <c r="BO27" s="123" t="s">
        <v>229</v>
      </c>
      <c r="BR27" s="104">
        <f>BR19*'Données à saisir'!$D$123</f>
        <v>840</v>
      </c>
      <c r="BS27" s="104">
        <f>BS19*'Données à saisir'!$D$123</f>
        <v>1260</v>
      </c>
      <c r="BT27" s="104">
        <f>BT19*'Données à saisir'!$D$123</f>
        <v>1680</v>
      </c>
      <c r="BU27" s="104">
        <f>BU19*'Données à saisir'!$D$123</f>
        <v>2100</v>
      </c>
      <c r="BV27" s="120">
        <f>BV19*'Données à saisir'!$D$123</f>
        <v>2940</v>
      </c>
      <c r="BY27" s="196">
        <f>BY19*'Données à saisir'!$D$123</f>
        <v>3360</v>
      </c>
      <c r="BZ27" s="104">
        <f>BZ19*'Données à saisir'!$D$123</f>
        <v>3780</v>
      </c>
      <c r="CA27" s="104">
        <f>CA19*'Données à saisir'!$D$123</f>
        <v>4200</v>
      </c>
      <c r="CB27" s="104">
        <f>CB19*'Données à saisir'!$D$123</f>
        <v>4620</v>
      </c>
      <c r="CC27" s="104">
        <f>CC19*'Données à saisir'!$D$123</f>
        <v>4872</v>
      </c>
      <c r="CD27" s="104">
        <f>CD19*'Données à saisir'!$D$123</f>
        <v>4872</v>
      </c>
      <c r="CE27" s="132">
        <f>CE19*'Données à saisir'!$D$123</f>
        <v>2320</v>
      </c>
      <c r="CF27" s="201">
        <f t="shared" si="20"/>
        <v>36844</v>
      </c>
    </row>
    <row r="28" spans="2:84" ht="15.1" customHeight="1" thickBot="1" x14ac:dyDescent="0.3">
      <c r="B28" s="26"/>
      <c r="C28" s="335" t="str">
        <f>IF(ISBLANK('Données à saisir'!B7),"",('Données à saisir'!B7))</f>
        <v>Vente en ligne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4000</v>
      </c>
      <c r="AH28" s="62">
        <f>IF(ISBLANK('Données à saisir'!C87),0,'Données à saisir'!C87)</f>
        <v>5000</v>
      </c>
      <c r="AI28" s="54">
        <f>IF(ISBLANK('Données à saisir'!D87),0,'Données à saisir'!D87)</f>
        <v>8000</v>
      </c>
      <c r="AL28" s="38" t="s">
        <v>160</v>
      </c>
      <c r="AM28" s="1"/>
      <c r="AN28" s="1"/>
      <c r="AO28" s="104">
        <f>AO27+AO22</f>
        <v>11819.98621157995</v>
      </c>
      <c r="AP28" s="145">
        <f t="shared" si="5"/>
        <v>0.12832467931364619</v>
      </c>
      <c r="AQ28" s="104">
        <f t="shared" ref="AQ28:AS28" si="22">AQ27+AQ22</f>
        <v>22444.306211579948</v>
      </c>
      <c r="AR28" s="149">
        <f t="shared" si="7"/>
        <v>0.11075841242970336</v>
      </c>
      <c r="AS28" s="104">
        <f t="shared" si="22"/>
        <v>48066.331363158766</v>
      </c>
      <c r="AT28" s="151">
        <f t="shared" si="8"/>
        <v>0.13177681538860203</v>
      </c>
      <c r="BF28" s="92" t="s">
        <v>258</v>
      </c>
      <c r="BI28" s="314">
        <f>Q31</f>
        <v>10000</v>
      </c>
      <c r="BJ28" s="314"/>
      <c r="BO28" s="123" t="s">
        <v>81</v>
      </c>
      <c r="BR28" s="104">
        <f>$AG$17/12</f>
        <v>1700</v>
      </c>
      <c r="BS28" s="104">
        <f t="shared" ref="BS28:CE28" si="23">$AG$17/12</f>
        <v>1700</v>
      </c>
      <c r="BT28" s="104">
        <f t="shared" si="23"/>
        <v>1700</v>
      </c>
      <c r="BU28" s="104">
        <f t="shared" si="23"/>
        <v>1700</v>
      </c>
      <c r="BV28" s="120">
        <f t="shared" si="23"/>
        <v>1700</v>
      </c>
      <c r="BY28" s="196">
        <f t="shared" si="23"/>
        <v>1700</v>
      </c>
      <c r="BZ28" s="104">
        <f t="shared" si="23"/>
        <v>1700</v>
      </c>
      <c r="CA28" s="104">
        <f t="shared" si="23"/>
        <v>1700</v>
      </c>
      <c r="CB28" s="104">
        <f t="shared" si="23"/>
        <v>1700</v>
      </c>
      <c r="CC28" s="104">
        <f t="shared" si="23"/>
        <v>1700</v>
      </c>
      <c r="CD28" s="104">
        <f t="shared" si="23"/>
        <v>1700</v>
      </c>
      <c r="CE28" s="132">
        <f t="shared" si="23"/>
        <v>1700</v>
      </c>
      <c r="CF28" s="201">
        <f t="shared" si="20"/>
        <v>20400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7000</v>
      </c>
      <c r="AH29" s="62">
        <f>IF(ISBLANK('Données à saisir'!C88),0,'Données à saisir'!C88)</f>
        <v>8000</v>
      </c>
      <c r="AI29" s="54">
        <f>IF(ISBLANK('Données à saisir'!D88),0,'Données à saisir'!D88)</f>
        <v>17000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183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30000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3100</v>
      </c>
      <c r="AI30" s="54">
        <f>IF(ISBLANK('Données à saisir'!D89),0,'Données à saisir'!D89)</f>
        <v>3300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10000</v>
      </c>
      <c r="T31" s="107" t="s">
        <v>149</v>
      </c>
      <c r="U31" s="34"/>
      <c r="V31" s="34"/>
      <c r="W31" s="34"/>
      <c r="X31" s="110">
        <f>SUM(X33:X39)</f>
        <v>520</v>
      </c>
      <c r="Y31" s="110">
        <f>SUM(Y33:Y39)</f>
        <v>520</v>
      </c>
      <c r="Z31" s="111">
        <f>SUM(Z33:Z39)</f>
        <v>520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52600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160</v>
      </c>
      <c r="Y33" s="113">
        <f>'Données à saisir'!D40</f>
        <v>160</v>
      </c>
      <c r="Z33" s="236">
        <f>'Données à saisir'!E40</f>
        <v>160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412.5</v>
      </c>
      <c r="BS33" s="104">
        <f t="shared" si="24"/>
        <v>412.5</v>
      </c>
      <c r="BT33" s="104">
        <f t="shared" si="24"/>
        <v>412.5</v>
      </c>
      <c r="BU33" s="104">
        <f t="shared" si="24"/>
        <v>412.5</v>
      </c>
      <c r="BV33" s="120">
        <f t="shared" si="24"/>
        <v>412.5</v>
      </c>
      <c r="BY33" s="196">
        <f t="shared" si="25"/>
        <v>412.5</v>
      </c>
      <c r="BZ33" s="104">
        <f t="shared" si="25"/>
        <v>412.5</v>
      </c>
      <c r="CA33" s="104">
        <f t="shared" si="25"/>
        <v>412.5</v>
      </c>
      <c r="CB33" s="104">
        <f t="shared" si="25"/>
        <v>412.5</v>
      </c>
      <c r="CC33" s="104">
        <f t="shared" si="25"/>
        <v>412.5</v>
      </c>
      <c r="CD33" s="104">
        <f t="shared" si="25"/>
        <v>412.5</v>
      </c>
      <c r="CE33" s="132">
        <f t="shared" si="25"/>
        <v>412.5</v>
      </c>
      <c r="CF33" s="201">
        <f t="shared" si="20"/>
        <v>4950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137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160</v>
      </c>
      <c r="Y34" s="113">
        <f>'Données à saisir'!D42</f>
        <v>160</v>
      </c>
      <c r="Z34" s="236">
        <f>'Données à saisir'!E42</f>
        <v>160</v>
      </c>
      <c r="AC34" s="67"/>
      <c r="AG34" s="62"/>
      <c r="AH34" s="62"/>
      <c r="AI34" s="69"/>
      <c r="AL34" s="294" t="s">
        <v>160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190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1662.5</v>
      </c>
      <c r="BS34" s="65">
        <f t="shared" ref="BS34:CE34" si="27">SUM(BS30:BS33)</f>
        <v>1662.5</v>
      </c>
      <c r="BT34" s="65">
        <f t="shared" si="27"/>
        <v>1662.5</v>
      </c>
      <c r="BU34" s="65">
        <f t="shared" si="27"/>
        <v>1662.5</v>
      </c>
      <c r="BV34" s="66">
        <f t="shared" si="27"/>
        <v>1662.5</v>
      </c>
      <c r="BY34" s="197">
        <f t="shared" si="27"/>
        <v>1662.5</v>
      </c>
      <c r="BZ34" s="65">
        <f t="shared" si="27"/>
        <v>1662.5</v>
      </c>
      <c r="CA34" s="65">
        <f t="shared" si="27"/>
        <v>1662.5</v>
      </c>
      <c r="CB34" s="65">
        <f t="shared" si="27"/>
        <v>1662.5</v>
      </c>
      <c r="CC34" s="65">
        <f t="shared" si="27"/>
        <v>1662.5</v>
      </c>
      <c r="CD34" s="65">
        <f t="shared" si="27"/>
        <v>1662.5</v>
      </c>
      <c r="CE34" s="131">
        <f t="shared" si="27"/>
        <v>1662.5</v>
      </c>
      <c r="CF34" s="200">
        <f t="shared" si="20"/>
        <v>19950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34866</v>
      </c>
      <c r="AH35" s="65">
        <f>AH16-AH17</f>
        <v>97215.2</v>
      </c>
      <c r="AI35" s="66">
        <f>AI16-AI17</f>
        <v>179213.36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187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115.35429298235793</v>
      </c>
      <c r="BS35" s="104">
        <f>$AG42/12</f>
        <v>115.35429298235793</v>
      </c>
      <c r="BT35" s="104">
        <f>$AG42/12</f>
        <v>115.35429298235793</v>
      </c>
      <c r="BU35" s="104">
        <f>$AG42/12</f>
        <v>115.35429298235793</v>
      </c>
      <c r="BV35" s="120">
        <f>$AG42/12</f>
        <v>115.35429298235793</v>
      </c>
      <c r="BY35" s="196">
        <f t="shared" ref="BY35:CE35" si="28">$AG42/12</f>
        <v>115.35429298235793</v>
      </c>
      <c r="BZ35" s="104">
        <f t="shared" si="28"/>
        <v>115.35429298235793</v>
      </c>
      <c r="CA35" s="104">
        <f t="shared" si="28"/>
        <v>115.35429298235793</v>
      </c>
      <c r="CB35" s="104">
        <f t="shared" si="28"/>
        <v>115.35429298235793</v>
      </c>
      <c r="CC35" s="104">
        <f t="shared" si="28"/>
        <v>115.35429298235793</v>
      </c>
      <c r="CD35" s="104">
        <f t="shared" si="28"/>
        <v>115.35429298235793</v>
      </c>
      <c r="CE35" s="132">
        <f t="shared" si="28"/>
        <v>115.35429298235793</v>
      </c>
      <c r="CF35" s="201">
        <f t="shared" si="20"/>
        <v>1384.2515157882951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80</v>
      </c>
      <c r="Y36" s="113">
        <f>'Données à saisir'!D48</f>
        <v>80</v>
      </c>
      <c r="Z36" s="236">
        <f>'Données à saisir'!E48</f>
        <v>80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1500</v>
      </c>
      <c r="AI36" s="53">
        <f>IF(ISBLANK('Données à saisir'!D91),0,'Données à saisir'!D91)</f>
        <v>1600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47246.425721553787</v>
      </c>
      <c r="BS36" s="65">
        <f>SUM(BS24:BS29,BS34:BS35)</f>
        <v>5066.4257215537864</v>
      </c>
      <c r="BT36" s="65">
        <f>SUM(BT24:BT29,BT34:BT35)</f>
        <v>5486.4257215537864</v>
      </c>
      <c r="BU36" s="65">
        <f>SUM(BU24:BU29,BU34:BU35)</f>
        <v>5906.4257215537864</v>
      </c>
      <c r="BV36" s="66">
        <f>SUM(BV24:BV29,BV34:BV35)</f>
        <v>6746.4257215537864</v>
      </c>
      <c r="BY36" s="197">
        <f t="shared" ref="BY36:CE36" si="29">SUM(BY24:BY29,BY34:BY35)</f>
        <v>7166.4257215537864</v>
      </c>
      <c r="BZ36" s="65">
        <f t="shared" si="29"/>
        <v>7586.4257215537864</v>
      </c>
      <c r="CA36" s="65">
        <f t="shared" si="29"/>
        <v>8006.4257215537864</v>
      </c>
      <c r="CB36" s="65">
        <f t="shared" si="29"/>
        <v>8426.4257215537855</v>
      </c>
      <c r="CC36" s="65">
        <f t="shared" si="29"/>
        <v>8678.4257215537855</v>
      </c>
      <c r="CD36" s="65">
        <f t="shared" si="29"/>
        <v>8678.4257215537855</v>
      </c>
      <c r="CE36" s="131">
        <f t="shared" si="29"/>
        <v>6126.4257215537864</v>
      </c>
      <c r="CF36" s="200">
        <f t="shared" si="20"/>
        <v>125121.10865864539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25000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23</v>
      </c>
      <c r="AG37" s="57">
        <f>'Données à saisir'!B133</f>
        <v>0</v>
      </c>
      <c r="AH37" s="57">
        <f>'Données à saisir'!C133</f>
        <v>10000</v>
      </c>
      <c r="AI37" s="53">
        <f>'Données à saisir'!D133</f>
        <v>24000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54700</v>
      </c>
      <c r="BS37" s="65">
        <f>SUM(BS15:BS20)</f>
        <v>3150</v>
      </c>
      <c r="BT37" s="65">
        <f>SUM(BT15:BT20)</f>
        <v>4200</v>
      </c>
      <c r="BU37" s="65">
        <f>SUM(BU15:BU20)</f>
        <v>5250</v>
      </c>
      <c r="BV37" s="66">
        <f>SUM(BV15:BV20)</f>
        <v>7350</v>
      </c>
      <c r="BY37" s="197">
        <f t="shared" ref="BY37:CE37" si="30">SUM(BY15:BY20)</f>
        <v>8400</v>
      </c>
      <c r="BZ37" s="65">
        <f t="shared" si="30"/>
        <v>9450</v>
      </c>
      <c r="CA37" s="65">
        <f t="shared" si="30"/>
        <v>10500</v>
      </c>
      <c r="CB37" s="65">
        <f t="shared" si="30"/>
        <v>11550</v>
      </c>
      <c r="CC37" s="65">
        <f t="shared" si="30"/>
        <v>12180</v>
      </c>
      <c r="CD37" s="65">
        <f t="shared" si="30"/>
        <v>12180</v>
      </c>
      <c r="CE37" s="131">
        <f t="shared" si="30"/>
        <v>5800</v>
      </c>
      <c r="CF37" s="200">
        <f t="shared" ref="CF37" si="31">SUM(BR37:CE37)</f>
        <v>144710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25000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7200</v>
      </c>
      <c r="AI38" s="120">
        <f>'Données à saisir'!D139</f>
        <v>17280</v>
      </c>
      <c r="AW38" s="162" t="s">
        <v>188</v>
      </c>
      <c r="AX38" s="108"/>
      <c r="AY38" s="108"/>
      <c r="AZ38" s="170">
        <f>'Données à saisir'!D128</f>
        <v>30</v>
      </c>
      <c r="BA38" s="176">
        <f>BA12/365*$AZ38</f>
        <v>3028.2739726027398</v>
      </c>
      <c r="BB38" s="177">
        <f>BB12/365*$AZ38</f>
        <v>6662.2027397260272</v>
      </c>
      <c r="BC38" s="178">
        <f>BC12/365*$AZ38</f>
        <v>11991.964931506849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7453.5742784462127</v>
      </c>
      <c r="BT38" s="104">
        <f>BS40</f>
        <v>5537.1485568924263</v>
      </c>
      <c r="BU38" s="104">
        <f>BT40</f>
        <v>4250.7228353386399</v>
      </c>
      <c r="BV38" s="159">
        <f>BU40</f>
        <v>3594.2971137848535</v>
      </c>
      <c r="BY38" s="196">
        <f>BV40</f>
        <v>4197.8713922310671</v>
      </c>
      <c r="BZ38" s="104">
        <f t="shared" ref="BZ38:CE38" si="32">BY40</f>
        <v>5431.4456706772808</v>
      </c>
      <c r="CA38" s="104">
        <f t="shared" si="32"/>
        <v>7295.0199491234944</v>
      </c>
      <c r="CB38" s="104">
        <f t="shared" si="32"/>
        <v>9788.5942275697089</v>
      </c>
      <c r="CC38" s="104">
        <f t="shared" si="32"/>
        <v>12912.168506015923</v>
      </c>
      <c r="CD38" s="104">
        <f t="shared" si="32"/>
        <v>16413.742784462138</v>
      </c>
      <c r="CE38" s="132">
        <f t="shared" si="32"/>
        <v>19915.317062908354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15000</v>
      </c>
      <c r="AH39" s="57">
        <f>'Données à saisir'!C134</f>
        <v>30000</v>
      </c>
      <c r="AI39" s="53">
        <f>'Données à saisir'!D134</f>
        <v>45000</v>
      </c>
      <c r="AW39" s="166" t="s">
        <v>191</v>
      </c>
      <c r="AX39" s="165"/>
      <c r="AY39" s="64"/>
      <c r="AZ39" s="167"/>
      <c r="BA39" s="173">
        <f>BA36-BA38</f>
        <v>-3028.2739726027398</v>
      </c>
      <c r="BB39" s="174">
        <f>BB36-BB38</f>
        <v>-6662.2027397260272</v>
      </c>
      <c r="BC39" s="175">
        <f>BC36-BC38</f>
        <v>-11991.964931506849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7453.5742784462127</v>
      </c>
      <c r="BS39" s="57">
        <f t="shared" ref="BS39:CE39" si="33">BS37-BS36</f>
        <v>-1916.4257215537864</v>
      </c>
      <c r="BT39" s="57">
        <f t="shared" si="33"/>
        <v>-1286.4257215537864</v>
      </c>
      <c r="BU39" s="57">
        <f t="shared" si="33"/>
        <v>-656.42572155378639</v>
      </c>
      <c r="BV39" s="68">
        <f t="shared" si="33"/>
        <v>603.57427844621361</v>
      </c>
      <c r="BW39" s="1"/>
      <c r="BX39" s="1"/>
      <c r="BY39" s="215">
        <f t="shared" si="33"/>
        <v>1233.5742784462136</v>
      </c>
      <c r="BZ39" s="57">
        <f t="shared" si="33"/>
        <v>1863.5742784462136</v>
      </c>
      <c r="CA39" s="57">
        <f t="shared" si="33"/>
        <v>2493.5742784462136</v>
      </c>
      <c r="CB39" s="57">
        <f t="shared" si="33"/>
        <v>3123.5742784462145</v>
      </c>
      <c r="CC39" s="57">
        <f t="shared" si="33"/>
        <v>3501.5742784462145</v>
      </c>
      <c r="CD39" s="57">
        <f t="shared" si="33"/>
        <v>3501.5742784462145</v>
      </c>
      <c r="CE39" s="74">
        <f t="shared" si="33"/>
        <v>-326.42572155378639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27600</v>
      </c>
      <c r="T40" s="107" t="s">
        <v>150</v>
      </c>
      <c r="U40" s="34"/>
      <c r="V40" s="34"/>
      <c r="W40" s="34"/>
      <c r="X40" s="110">
        <f>SUM(X42:X46)</f>
        <v>1600</v>
      </c>
      <c r="Y40" s="110">
        <f>SUM(Y42:Y46)</f>
        <v>1600</v>
      </c>
      <c r="Z40" s="237">
        <f>SUM(Z42:Z46)</f>
        <v>1600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4950</v>
      </c>
      <c r="AH40" s="104">
        <f>IF('Données à saisir'!C136="Oui",'Données à saisir'!H147,'Données à saisir'!C147)</f>
        <v>21000</v>
      </c>
      <c r="AI40" s="120">
        <f>IF('Données à saisir'!C136="Oui",'Données à saisir'!I147,'Données à saisir'!D147)</f>
        <v>31499.999999999996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240</v>
      </c>
      <c r="BP40" s="64"/>
      <c r="BQ40" s="64"/>
      <c r="BR40" s="65">
        <f>BR39</f>
        <v>7453.5742784462127</v>
      </c>
      <c r="BS40" s="65">
        <f>BS38+BS39</f>
        <v>5537.1485568924263</v>
      </c>
      <c r="BT40" s="65">
        <f>BT38+BT39</f>
        <v>4250.7228353386399</v>
      </c>
      <c r="BU40" s="65">
        <f>BU38+BU39</f>
        <v>3594.2971137848535</v>
      </c>
      <c r="BV40" s="66">
        <f t="shared" ref="BV40:CE40" si="34">BV38+BV39</f>
        <v>4197.8713922310671</v>
      </c>
      <c r="BY40" s="197">
        <f t="shared" si="34"/>
        <v>5431.4456706772808</v>
      </c>
      <c r="BZ40" s="65">
        <f t="shared" si="34"/>
        <v>7295.0199491234944</v>
      </c>
      <c r="CA40" s="65">
        <f t="shared" si="34"/>
        <v>9788.5942275697089</v>
      </c>
      <c r="CB40" s="65">
        <f t="shared" si="34"/>
        <v>12912.168506015923</v>
      </c>
      <c r="CC40" s="65">
        <f t="shared" si="34"/>
        <v>16413.742784462138</v>
      </c>
      <c r="CD40" s="65">
        <f t="shared" si="34"/>
        <v>19915.317062908354</v>
      </c>
      <c r="CE40" s="131">
        <f t="shared" si="34"/>
        <v>19588.891341354567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0.04</v>
      </c>
      <c r="O41" s="96">
        <f>IF(ISBLANK('Données à saisir'!D61),"",'Données à saisir'!D61)</f>
        <v>84</v>
      </c>
      <c r="Q41" s="42">
        <f>IF(ISBLANK('Données à saisir'!B61),0,'Données à saisir'!B61)</f>
        <v>27600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14916</v>
      </c>
      <c r="AH41" s="65">
        <f t="shared" ref="AH41:AI41" si="35">AH35-SUM(AH36:AH40)</f>
        <v>27515.199999999997</v>
      </c>
      <c r="AI41" s="66">
        <f t="shared" si="35"/>
        <v>59833.359999999986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900</v>
      </c>
      <c r="Y42" s="113">
        <f>'Données à saisir'!D50</f>
        <v>900</v>
      </c>
      <c r="Z42" s="236">
        <f>'Données à saisir'!E50</f>
        <v>900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1384.2515157882951</v>
      </c>
      <c r="AH42" s="57">
        <f>'Données à saisir'!C90+SUM('Données à saisir'!H70:H72)</f>
        <v>1484.2515157882951</v>
      </c>
      <c r="AI42" s="53">
        <f>'Données à saisir'!D90+SUM('Données à saisir'!I70:I72)</f>
        <v>1534.2515157882951</v>
      </c>
      <c r="AL42" s="63" t="s">
        <v>162</v>
      </c>
      <c r="AM42" s="64"/>
      <c r="AN42" s="64"/>
      <c r="AO42" s="131">
        <f>AO27</f>
        <v>9699.9862115799497</v>
      </c>
      <c r="AP42" s="136"/>
      <c r="AQ42" s="131">
        <f>AQ27</f>
        <v>20324.306211579948</v>
      </c>
      <c r="AR42" s="136"/>
      <c r="AS42" s="128">
        <f>AS27</f>
        <v>45946.331363158766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2120</v>
      </c>
      <c r="AH43" s="57">
        <f>'Données à saisir'!D39</f>
        <v>2120</v>
      </c>
      <c r="AI43" s="53">
        <f>'Données à saisir'!E39</f>
        <v>2120</v>
      </c>
      <c r="AL43" s="122" t="s">
        <v>163</v>
      </c>
      <c r="AM43" s="1"/>
      <c r="AN43" s="1"/>
      <c r="AO43" s="132">
        <f>AO22</f>
        <v>2120</v>
      </c>
      <c r="AP43" s="137"/>
      <c r="AQ43" s="132">
        <f>AQ22</f>
        <v>2120</v>
      </c>
      <c r="AR43" s="137"/>
      <c r="AS43" s="127">
        <f>AS22</f>
        <v>2120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0</v>
      </c>
      <c r="Y44" s="113">
        <f>'Données à saisir'!D52</f>
        <v>0</v>
      </c>
      <c r="Z44" s="236">
        <f>'Données à saisir'!E52</f>
        <v>0</v>
      </c>
      <c r="AC44" s="63" t="s">
        <v>131</v>
      </c>
      <c r="AD44" s="64"/>
      <c r="AE44" s="64"/>
      <c r="AF44" s="64"/>
      <c r="AG44" s="65">
        <f>AG41-AG42-AG43</f>
        <v>11411.748484211705</v>
      </c>
      <c r="AH44" s="65">
        <f t="shared" ref="AH44:AI44" si="37">AH41-AH42-AH43</f>
        <v>23910.948484211702</v>
      </c>
      <c r="AI44" s="66">
        <f t="shared" si="37"/>
        <v>56179.108484211691</v>
      </c>
      <c r="AL44" s="63" t="s">
        <v>160</v>
      </c>
      <c r="AM44" s="64"/>
      <c r="AN44" s="64"/>
      <c r="AO44" s="131">
        <f>AO42+AO43</f>
        <v>11819.98621157995</v>
      </c>
      <c r="AP44" s="136"/>
      <c r="AQ44" s="131">
        <f t="shared" ref="AQ44:AS44" si="38">AQ42+AQ43</f>
        <v>22444.306211579948</v>
      </c>
      <c r="AR44" s="136"/>
      <c r="AS44" s="128">
        <f t="shared" si="38"/>
        <v>48066.331363158766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400</v>
      </c>
      <c r="Y45" s="113">
        <f>'Données à saisir'!D53</f>
        <v>400</v>
      </c>
      <c r="Z45" s="236">
        <f>'Données à saisir'!E53</f>
        <v>400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1711.7622726317556</v>
      </c>
      <c r="AH45" s="57">
        <f>IF(AC45="Impôt sur les sociétés",IF(AH44&lt;0,0,IF(AH44&gt;38120,38120*0.15+(AH44-38120)*25%,AH44*0.15)),"")</f>
        <v>3586.6422726317551</v>
      </c>
      <c r="AI45" s="53">
        <f>+IF(AC45="Impôt sur les sociétés",IF(AI44&lt;0,0,IF(AI44&gt;38120,38120*0.15+(AI44-38120)*25%,AI44*0.15)),"")</f>
        <v>10232.777121052923</v>
      </c>
      <c r="AL45" s="123" t="s">
        <v>164</v>
      </c>
      <c r="AO45" s="132">
        <f>IF(ISERROR(SUM('Données à saisir'!J70:J72)),0,SUM('Données à saisir'!J70:J72))</f>
        <v>3942.8571428571427</v>
      </c>
      <c r="AP45" s="137"/>
      <c r="AQ45" s="132">
        <f>SUM('Données à saisir'!K70:K72)</f>
        <v>3942.8571428571427</v>
      </c>
      <c r="AR45" s="137"/>
      <c r="AS45" s="127">
        <f>SUM('Données à saisir'!L70:L72)</f>
        <v>3942.8571428571427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300</v>
      </c>
      <c r="Y46" s="113">
        <f>'Données à saisir'!D54</f>
        <v>300</v>
      </c>
      <c r="Z46" s="236">
        <f>'Données à saisir'!E54</f>
        <v>300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7877.1290687228066</v>
      </c>
      <c r="AP46" s="138"/>
      <c r="AQ46" s="133">
        <f>AQ44-AQ45</f>
        <v>18501.449068722806</v>
      </c>
      <c r="AR46" s="138"/>
      <c r="AS46" s="129">
        <f>AS44-AS45</f>
        <v>44123.474220301621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45155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9699.9862115799497</v>
      </c>
      <c r="AH47" s="65">
        <f t="shared" ref="AH47:AI47" si="39">AH44-SUM(AH45)</f>
        <v>20324.306211579948</v>
      </c>
      <c r="AI47" s="66">
        <f t="shared" si="39"/>
        <v>45946.331363158766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52600</v>
      </c>
      <c r="T48" s="109" t="s">
        <v>151</v>
      </c>
      <c r="U48" s="108"/>
      <c r="V48" s="108"/>
      <c r="W48" s="108"/>
      <c r="X48" s="112">
        <f>SUM(X31,X40)</f>
        <v>2120</v>
      </c>
      <c r="Y48" s="112">
        <f>SUM(Y31,Y40)</f>
        <v>2120</v>
      </c>
      <c r="Z48" s="118">
        <f>SUM(Z31,Z40)</f>
        <v>2120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31361.748484211705</v>
      </c>
      <c r="AH52" s="90">
        <f>AH35-SUM(AH36:AH38,AH42:AH43)</f>
        <v>74910.948484211694</v>
      </c>
      <c r="AI52" s="90">
        <f>AI35-SUM(AI36:AI38,AI42:AI43)</f>
        <v>132679.1084842117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2023-08-17T13:25:18Z</dcterms:modified>
</cp:coreProperties>
</file>