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7DD2FA7E-59AA-48D6-B7B3-282085C74F74}" xr6:coauthVersionLast="47" xr6:coauthVersionMax="47" xr10:uidLastSave="{00000000-0000-0000-0000-000000000000}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B34" i="1"/>
  <c r="B61" i="1" s="1"/>
  <c r="B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70" i="1"/>
  <c r="C70" i="1" s="1"/>
  <c r="D70" i="1"/>
  <c r="L70" i="1" s="1"/>
  <c r="L73" i="1" s="1"/>
  <c r="BT37" i="2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CF15" i="2"/>
  <c r="C39" i="1"/>
  <c r="AS45" i="2" l="1"/>
  <c r="BL17" i="2" s="1"/>
  <c r="K70" i="1"/>
  <c r="AQ45" i="2" s="1"/>
  <c r="BK17" i="2" s="1"/>
  <c r="E70" i="1"/>
  <c r="I70" i="1" s="1"/>
  <c r="AI42" i="2" s="1"/>
  <c r="AS24" i="2" s="1"/>
  <c r="AS25" i="2" s="1"/>
  <c r="J70" i="1"/>
  <c r="AO45" i="2" s="1"/>
  <c r="BJ17" i="2" s="1"/>
  <c r="AG11" i="2"/>
  <c r="AG14" i="2" s="1"/>
  <c r="AG13" i="2" s="1"/>
  <c r="E54" i="1"/>
  <c r="Z46" i="2" s="1"/>
  <c r="E53" i="1"/>
  <c r="Z45" i="2" s="1"/>
  <c r="E42" i="1"/>
  <c r="F42" i="1" s="1"/>
  <c r="CF30" i="2"/>
  <c r="G141" i="1"/>
  <c r="B141" i="1"/>
  <c r="BJ20" i="2"/>
  <c r="BR16" i="2" s="1"/>
  <c r="CF16" i="2" s="1"/>
  <c r="CF32" i="2"/>
  <c r="AH12" i="2"/>
  <c r="AI12" i="2" s="1"/>
  <c r="Y40" i="2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CD31" i="2"/>
  <c r="BV31" i="2"/>
  <c r="BU31" i="2"/>
  <c r="CC31" i="2"/>
  <c r="X31" i="2"/>
  <c r="CE31" i="2"/>
  <c r="CB31" i="2"/>
  <c r="E50" i="1"/>
  <c r="Z42" i="2" s="1"/>
  <c r="CF21" i="2"/>
  <c r="CF27" i="2"/>
  <c r="CA31" i="2"/>
  <c r="BY31" i="2"/>
  <c r="BZ31" i="2"/>
  <c r="E51" i="1"/>
  <c r="F54" i="1"/>
  <c r="E49" i="1"/>
  <c r="E52" i="1"/>
  <c r="E48" i="1"/>
  <c r="D39" i="1"/>
  <c r="E39" i="1" s="1"/>
  <c r="AI43" i="2" s="1"/>
  <c r="AG43" i="2"/>
  <c r="Z35" i="2"/>
  <c r="F44" i="1"/>
  <c r="G44" i="1" s="1"/>
  <c r="G70" i="1" l="1"/>
  <c r="AG42" i="2" s="1"/>
  <c r="BS35" i="2" s="1"/>
  <c r="F70" i="1"/>
  <c r="K73" i="1"/>
  <c r="J73" i="1"/>
  <c r="BS26" i="2" s="1"/>
  <c r="H70" i="1"/>
  <c r="AH42" i="2" s="1"/>
  <c r="AQ24" i="2" s="1"/>
  <c r="AQ25" i="2" s="1"/>
  <c r="I73" i="1"/>
  <c r="AH11" i="2"/>
  <c r="AI11" i="2" s="1"/>
  <c r="I140" i="1" s="1"/>
  <c r="I147" i="1" s="1"/>
  <c r="AO15" i="2"/>
  <c r="AG31" i="2"/>
  <c r="AG17" i="2" s="1"/>
  <c r="B97" i="1"/>
  <c r="AG10" i="2"/>
  <c r="AO14" i="2" s="1"/>
  <c r="AP19" i="2" s="1"/>
  <c r="G140" i="1"/>
  <c r="G147" i="1" s="1"/>
  <c r="AG40" i="2" s="1"/>
  <c r="CD33" i="2" s="1"/>
  <c r="CD34" i="2" s="1"/>
  <c r="B140" i="1"/>
  <c r="B147" i="1" s="1"/>
  <c r="G42" i="1"/>
  <c r="H42" i="1" s="1"/>
  <c r="F53" i="1"/>
  <c r="G53" i="1" s="1"/>
  <c r="Z34" i="2"/>
  <c r="BR37" i="2"/>
  <c r="CF37" i="2" s="1"/>
  <c r="Y48" i="2"/>
  <c r="H141" i="1"/>
  <c r="C141" i="1"/>
  <c r="I141" i="1"/>
  <c r="D141" i="1"/>
  <c r="X48" i="2"/>
  <c r="BR24" i="2"/>
  <c r="CF24" i="2" s="1"/>
  <c r="CF31" i="2"/>
  <c r="Z44" i="2"/>
  <c r="Z36" i="2"/>
  <c r="F48" i="1"/>
  <c r="Z43" i="2"/>
  <c r="F51" i="1"/>
  <c r="F52" i="1"/>
  <c r="Z37" i="2"/>
  <c r="H40" i="1"/>
  <c r="I40" i="1" s="1"/>
  <c r="F49" i="1"/>
  <c r="G54" i="1"/>
  <c r="F50" i="1"/>
  <c r="H44" i="1"/>
  <c r="I44" i="1" s="1"/>
  <c r="J44" i="1" s="1"/>
  <c r="AO22" i="2"/>
  <c r="AS22" i="2"/>
  <c r="AH43" i="2"/>
  <c r="F39" i="1"/>
  <c r="G39" i="1" s="1"/>
  <c r="CC35" i="2" l="1"/>
  <c r="BV35" i="2"/>
  <c r="BU35" i="2"/>
  <c r="AO24" i="2"/>
  <c r="AO25" i="2" s="1"/>
  <c r="AP25" i="2" s="1"/>
  <c r="BT35" i="2"/>
  <c r="CB35" i="2"/>
  <c r="CA35" i="2"/>
  <c r="BR35" i="2"/>
  <c r="CB26" i="2"/>
  <c r="CD26" i="2"/>
  <c r="CD35" i="2"/>
  <c r="BZ35" i="2"/>
  <c r="CE35" i="2"/>
  <c r="BY35" i="2"/>
  <c r="CA26" i="2"/>
  <c r="BR26" i="2"/>
  <c r="CC26" i="2"/>
  <c r="BZ26" i="2"/>
  <c r="BT26" i="2"/>
  <c r="BV26" i="2"/>
  <c r="BU26" i="2"/>
  <c r="BY26" i="2"/>
  <c r="CE26" i="2"/>
  <c r="H140" i="1"/>
  <c r="AI10" i="2"/>
  <c r="AS13" i="2" s="1"/>
  <c r="C140" i="1"/>
  <c r="C147" i="1" s="1"/>
  <c r="AH10" i="2"/>
  <c r="AQ14" i="2" s="1"/>
  <c r="AR24" i="2" s="1"/>
  <c r="AI14" i="2"/>
  <c r="AS15" i="2" s="1"/>
  <c r="BC12" i="2" s="1"/>
  <c r="D140" i="1"/>
  <c r="D147" i="1" s="1"/>
  <c r="AH14" i="2"/>
  <c r="AH13" i="2" s="1"/>
  <c r="AP15" i="2"/>
  <c r="BA12" i="2"/>
  <c r="BA13" i="2" s="1"/>
  <c r="AG16" i="2"/>
  <c r="AG35" i="2" s="1"/>
  <c r="AG52" i="2" s="1"/>
  <c r="B142" i="1" s="1"/>
  <c r="AP24" i="2"/>
  <c r="BA11" i="2"/>
  <c r="BA36" i="2" s="1"/>
  <c r="AO16" i="2"/>
  <c r="AP16" i="2" s="1"/>
  <c r="BR28" i="2"/>
  <c r="BZ28" i="2"/>
  <c r="CA28" i="2"/>
  <c r="BS28" i="2"/>
  <c r="CE28" i="2"/>
  <c r="CC28" i="2"/>
  <c r="AO17" i="2"/>
  <c r="AP17" i="2" s="1"/>
  <c r="CB28" i="2"/>
  <c r="BU28" i="2"/>
  <c r="BV28" i="2"/>
  <c r="BY28" i="2"/>
  <c r="CD28" i="2"/>
  <c r="BT28" i="2"/>
  <c r="AO13" i="2"/>
  <c r="C97" i="1"/>
  <c r="AH31" i="2"/>
  <c r="AH17" i="2" s="1"/>
  <c r="AQ17" i="2" s="1"/>
  <c r="H147" i="1"/>
  <c r="AH40" i="2" s="1"/>
  <c r="AQ20" i="2" s="1"/>
  <c r="I42" i="1"/>
  <c r="J42" i="1" s="1"/>
  <c r="H53" i="1"/>
  <c r="I53" i="1" s="1"/>
  <c r="CA33" i="2"/>
  <c r="CA34" i="2" s="1"/>
  <c r="CE33" i="2"/>
  <c r="CE34" i="2" s="1"/>
  <c r="X17" i="2"/>
  <c r="BT33" i="2"/>
  <c r="BT34" i="2" s="1"/>
  <c r="CB33" i="2"/>
  <c r="CB34" i="2" s="1"/>
  <c r="BY33" i="2"/>
  <c r="BY34" i="2" s="1"/>
  <c r="BZ33" i="2"/>
  <c r="BZ34" i="2" s="1"/>
  <c r="BU33" i="2"/>
  <c r="BU34" i="2" s="1"/>
  <c r="AO20" i="2"/>
  <c r="AP20" i="2" s="1"/>
  <c r="BR33" i="2"/>
  <c r="BR34" i="2" s="1"/>
  <c r="BV33" i="2"/>
  <c r="BV34" i="2" s="1"/>
  <c r="BS33" i="2"/>
  <c r="BS34" i="2" s="1"/>
  <c r="CC33" i="2"/>
  <c r="CC34" i="2" s="1"/>
  <c r="Z31" i="2"/>
  <c r="AI40" i="2"/>
  <c r="Z17" i="2" s="1"/>
  <c r="J40" i="1"/>
  <c r="K40" i="1" s="1"/>
  <c r="L40" i="1" s="1"/>
  <c r="Z40" i="2"/>
  <c r="G48" i="1"/>
  <c r="G50" i="1"/>
  <c r="G49" i="1"/>
  <c r="H54" i="1"/>
  <c r="I54" i="1" s="1"/>
  <c r="G51" i="1"/>
  <c r="G52" i="1"/>
  <c r="H52" i="1" s="1"/>
  <c r="AS43" i="2"/>
  <c r="AO43" i="2"/>
  <c r="AP22" i="2"/>
  <c r="H39" i="1"/>
  <c r="K44" i="1"/>
  <c r="L44" i="1" s="1"/>
  <c r="AQ22" i="2"/>
  <c r="CF35" i="2" l="1"/>
  <c r="CF26" i="2"/>
  <c r="CD36" i="2"/>
  <c r="CD39" i="2" s="1"/>
  <c r="J53" i="1"/>
  <c r="K53" i="1" s="1"/>
  <c r="AS14" i="2"/>
  <c r="AT25" i="2" s="1"/>
  <c r="BC11" i="2"/>
  <c r="BC36" i="2" s="1"/>
  <c r="AR19" i="2"/>
  <c r="AI13" i="2"/>
  <c r="AI16" i="2" s="1"/>
  <c r="AH16" i="2"/>
  <c r="AH35" i="2" s="1"/>
  <c r="AH52" i="2" s="1"/>
  <c r="C142" i="1" s="1"/>
  <c r="AQ13" i="2"/>
  <c r="AR17" i="2"/>
  <c r="BB11" i="2"/>
  <c r="BB36" i="2" s="1"/>
  <c r="AR25" i="2"/>
  <c r="AR20" i="2"/>
  <c r="AQ15" i="2"/>
  <c r="BB12" i="2" s="1"/>
  <c r="BB13" i="2" s="1"/>
  <c r="BA38" i="2"/>
  <c r="BA39" i="2" s="1"/>
  <c r="BJ16" i="2" s="1"/>
  <c r="BJ18" i="2" s="1"/>
  <c r="BR36" i="2"/>
  <c r="BR39" i="2" s="1"/>
  <c r="BR40" i="2" s="1"/>
  <c r="BS38" i="2" s="1"/>
  <c r="BT36" i="2"/>
  <c r="BT39" i="2" s="1"/>
  <c r="CE36" i="2"/>
  <c r="CE39" i="2" s="1"/>
  <c r="BY36" i="2"/>
  <c r="BY39" i="2" s="1"/>
  <c r="BV36" i="2"/>
  <c r="BV39" i="2" s="1"/>
  <c r="CB36" i="2"/>
  <c r="CB39" i="2" s="1"/>
  <c r="BS36" i="2"/>
  <c r="BS39" i="2" s="1"/>
  <c r="BA14" i="2"/>
  <c r="BA15" i="2" s="1"/>
  <c r="BU36" i="2"/>
  <c r="BU39" i="2" s="1"/>
  <c r="AO18" i="2"/>
  <c r="AP18" i="2" s="1"/>
  <c r="CF28" i="2"/>
  <c r="CC36" i="2"/>
  <c r="CC39" i="2" s="1"/>
  <c r="AG41" i="2"/>
  <c r="AG44" i="2" s="1"/>
  <c r="BA18" i="2" s="1"/>
  <c r="BZ36" i="2"/>
  <c r="BZ39" i="2" s="1"/>
  <c r="CA36" i="2"/>
  <c r="CA39" i="2" s="1"/>
  <c r="AI31" i="2"/>
  <c r="AI17" i="2" s="1"/>
  <c r="AS17" i="2" s="1"/>
  <c r="D97" i="1"/>
  <c r="K42" i="1"/>
  <c r="L42" i="1" s="1"/>
  <c r="Y17" i="2"/>
  <c r="BA16" i="2"/>
  <c r="Z48" i="2"/>
  <c r="CF34" i="2"/>
  <c r="CF33" i="2"/>
  <c r="M40" i="1"/>
  <c r="AS20" i="2"/>
  <c r="J54" i="1"/>
  <c r="K54" i="1" s="1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13" i="2"/>
  <c r="M44" i="1"/>
  <c r="I39" i="1"/>
  <c r="J39" i="1" s="1"/>
  <c r="K39" i="1" s="1"/>
  <c r="AQ43" i="2"/>
  <c r="AR22" i="2"/>
  <c r="BB16" i="2"/>
  <c r="AG45" i="2" l="1"/>
  <c r="AG47" i="2" s="1"/>
  <c r="AT24" i="2"/>
  <c r="AS16" i="2"/>
  <c r="AT16" i="2" s="1"/>
  <c r="AT15" i="2"/>
  <c r="AT19" i="2"/>
  <c r="BC14" i="2"/>
  <c r="BC15" i="2" s="1"/>
  <c r="BB14" i="2"/>
  <c r="BB15" i="2" s="1"/>
  <c r="BB19" i="2" s="1"/>
  <c r="BC39" i="2"/>
  <c r="AT22" i="2"/>
  <c r="AT17" i="2"/>
  <c r="AQ16" i="2"/>
  <c r="AQ18" i="2" s="1"/>
  <c r="AQ21" i="2" s="1"/>
  <c r="BB38" i="2"/>
  <c r="BB39" i="2" s="1"/>
  <c r="BK16" i="2" s="1"/>
  <c r="BK18" i="2" s="1"/>
  <c r="AR15" i="2"/>
  <c r="H142" i="1"/>
  <c r="AH41" i="2"/>
  <c r="AH44" i="2" s="1"/>
  <c r="AH45" i="2" s="1"/>
  <c r="BR41" i="2"/>
  <c r="BS40" i="2"/>
  <c r="BT38" i="2" s="1"/>
  <c r="BT40" i="2" s="1"/>
  <c r="BC16" i="2"/>
  <c r="BC17" i="2" s="1"/>
  <c r="BA19" i="2"/>
  <c r="BA20" i="2" s="1"/>
  <c r="D151" i="1" s="1"/>
  <c r="E151" i="1" s="1"/>
  <c r="CF36" i="2"/>
  <c r="AO21" i="2"/>
  <c r="AP21" i="2" s="1"/>
  <c r="AI35" i="2"/>
  <c r="M42" i="1"/>
  <c r="BA17" i="2"/>
  <c r="L54" i="1"/>
  <c r="M54" i="1" s="1"/>
  <c r="AT20" i="2"/>
  <c r="I49" i="1"/>
  <c r="J49" i="1" s="1"/>
  <c r="K49" i="1" s="1"/>
  <c r="M52" i="1"/>
  <c r="J51" i="1"/>
  <c r="K51" i="1" s="1"/>
  <c r="I48" i="1"/>
  <c r="I50" i="1"/>
  <c r="J50" i="1" s="1"/>
  <c r="K50" i="1" s="1"/>
  <c r="L50" i="1" s="1"/>
  <c r="M50" i="1" s="1"/>
  <c r="BB17" i="2"/>
  <c r="L39" i="1"/>
  <c r="M39" i="1" s="1"/>
  <c r="AS18" i="2" l="1"/>
  <c r="AT18" i="2" s="1"/>
  <c r="BL16" i="2"/>
  <c r="BL18" i="2" s="1"/>
  <c r="AR18" i="2"/>
  <c r="AR16" i="2"/>
  <c r="AH47" i="2"/>
  <c r="BB18" i="2"/>
  <c r="BS41" i="2"/>
  <c r="BA21" i="2"/>
  <c r="BC19" i="2"/>
  <c r="BC20" i="2" s="1"/>
  <c r="AO23" i="2"/>
  <c r="AO26" i="2" s="1"/>
  <c r="AO27" i="2" s="1"/>
  <c r="AO28" i="2" s="1"/>
  <c r="AP28" i="2" s="1"/>
  <c r="AI52" i="2"/>
  <c r="AI41" i="2"/>
  <c r="AI44" i="2" s="1"/>
  <c r="L51" i="1"/>
  <c r="M51" i="1" s="1"/>
  <c r="AR21" i="2"/>
  <c r="AQ23" i="2"/>
  <c r="L49" i="1"/>
  <c r="M49" i="1" s="1"/>
  <c r="J48" i="1"/>
  <c r="K48" i="1" s="1"/>
  <c r="L48" i="1" s="1"/>
  <c r="M48" i="1" s="1"/>
  <c r="BU38" i="2"/>
  <c r="BU40" i="2" s="1"/>
  <c r="BT41" i="2"/>
  <c r="BB21" i="2"/>
  <c r="BB20" i="2"/>
  <c r="BC18" i="2" l="1"/>
  <c r="AI45" i="2"/>
  <c r="AI47" i="2" s="1"/>
  <c r="AS21" i="2"/>
  <c r="AT21" i="2" s="1"/>
  <c r="BC21" i="2"/>
  <c r="AP23" i="2"/>
  <c r="AP27" i="2"/>
  <c r="AP26" i="2"/>
  <c r="AO42" i="2"/>
  <c r="AO44" i="2" s="1"/>
  <c r="BJ23" i="2" s="1"/>
  <c r="BJ24" i="2" s="1"/>
  <c r="BJ25" i="2" s="1"/>
  <c r="BJ26" i="2" s="1"/>
  <c r="I142" i="1"/>
  <c r="D142" i="1"/>
  <c r="AQ26" i="2"/>
  <c r="AR23" i="2"/>
  <c r="BU41" i="2"/>
  <c r="BV38" i="2"/>
  <c r="BV40" i="2" s="1"/>
  <c r="AS23" i="2" l="1"/>
  <c r="AT23" i="2" s="1"/>
  <c r="AO46" i="2"/>
  <c r="AQ27" i="2"/>
  <c r="AR26" i="2"/>
  <c r="BY38" i="2"/>
  <c r="BY40" i="2" s="1"/>
  <c r="BV41" i="2"/>
  <c r="AS26" i="2" l="1"/>
  <c r="AT26" i="2" s="1"/>
  <c r="AQ28" i="2"/>
  <c r="AR28" i="2" s="1"/>
  <c r="AQ42" i="2"/>
  <c r="AQ44" i="2" s="1"/>
  <c r="AR27" i="2"/>
  <c r="BY41" i="2"/>
  <c r="BZ38" i="2"/>
  <c r="BZ40" i="2" s="1"/>
  <c r="AS27" i="2" l="1"/>
  <c r="AS42" i="2" s="1"/>
  <c r="AS44" i="2" s="1"/>
  <c r="BL23" i="2" s="1"/>
  <c r="BL24" i="2" s="1"/>
  <c r="BL25" i="2" s="1"/>
  <c r="BK23" i="2"/>
  <c r="BK24" i="2" s="1"/>
  <c r="BK25" i="2" s="1"/>
  <c r="BK26" i="2" s="1"/>
  <c r="AQ46" i="2"/>
  <c r="CA38" i="2"/>
  <c r="CA40" i="2" s="1"/>
  <c r="BZ41" i="2"/>
  <c r="AS46" i="2" l="1"/>
  <c r="AT27" i="2"/>
  <c r="AS28" i="2"/>
  <c r="AT28" i="2" s="1"/>
  <c r="BL26" i="2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<sst xmlns="http://schemas.openxmlformats.org/spreadsheetml/2006/main" count="443" uniqueCount="295">
  <si>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</si>
  <si>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</si>
  <si>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</si>
  <si>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</si>
  <si>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</si>
  <si>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Droit au bail</t>
  </si>
  <si>
    <t>Assurances</t>
  </si>
  <si>
    <t>Téléphone, internet</t>
  </si>
  <si>
    <t>Salaires employés</t>
  </si>
  <si>
    <t>Charges sociales employés</t>
  </si>
  <si>
    <t>Mutuelle</t>
  </si>
  <si>
    <t>Fournitures diverses</t>
  </si>
  <si>
    <t>Expert comptable, avocats</t>
  </si>
  <si>
    <t>Frais bancaires et terminal carte bleue</t>
  </si>
  <si>
    <t>Charges financières</t>
  </si>
  <si>
    <t xml:space="preserve">Frais d’établissement </t>
  </si>
  <si>
    <t>Caution ou dépôt de garantie</t>
  </si>
  <si>
    <t>Frais de notaire ou d’avocat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</si>
  <si>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</si>
  <si>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</si>
  <si>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</si>
  <si>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</si>
  <si>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</si>
  <si>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</si>
  <si>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</si>
  <si>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</si>
  <si>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</si>
  <si>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</si>
  <si>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</si>
  <si>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</si>
  <si>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</si>
  <si>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</si>
  <si>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</si>
  <si>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</si>
  <si>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</si>
  <si>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</si>
  <si>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1) Vos besoins de démarrage :</t>
  </si>
  <si>
    <t>2) Le financement de vos besoins de démarrage :</t>
  </si>
  <si>
    <t>3) Vos charges fixes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</si>
  <si>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</si>
  <si>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</si>
  <si>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</si>
  <si>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</si>
  <si>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</si>
  <si>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</si>
  <si>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</si>
  <si>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</si>
  <si>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</si>
  <si>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</si>
  <si>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</si>
  <si>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</si>
  <si>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</si>
  <si>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</si>
  <si>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</si>
  <si>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</si>
  <si>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</si>
  <si>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</si>
  <si>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</si>
  <si>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</si>
  <si>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</si>
  <si>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</si>
  <si>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</si>
  <si>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</si>
  <si>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</si>
  <si>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</si>
  <si>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</si>
  <si>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</si>
  <si>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</si>
  <si>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</si>
  <si>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</si>
  <si>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</si>
  <si>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</si>
  <si>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</si>
  <si>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</si>
  <si>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</si>
  <si>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</si>
  <si>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</si>
  <si>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</si>
  <si>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</si>
  <si>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</si>
  <si>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</si>
  <si>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</si>
  <si>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</si>
  <si>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</si>
  <si>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</si>
  <si>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</si>
  <si>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</si>
  <si>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</si>
  <si>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</si>
  <si>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</si>
  <si>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</si>
  <si>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</si>
  <si>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</si>
  <si>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</si>
  <si>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</si>
  <si>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</si>
  <si>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</si>
  <si>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</si>
  <si>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</si>
  <si>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</si>
  <si>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</si>
  <si>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</si>
  <si>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</si>
  <si>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</si>
  <si>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</si>
  <si>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</si>
  <si>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</si>
  <si>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</si>
  <si>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</si>
  <si>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</si>
  <si>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</si>
  <si>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</si>
  <si>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</si>
  <si>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</si>
  <si>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</si>
  <si>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</si>
  <si>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</si>
  <si>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</si>
  <si>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</si>
  <si>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</si>
  <si>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</si>
  <si>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</si>
  <si>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</si>
  <si>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</si>
  <si>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</si>
  <si>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</si>
  <si>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</si>
  <si>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</si>
  <si>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</si>
  <si>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</si>
  <si>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</si>
  <si>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</si>
  <si>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</si>
  <si>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</si>
  <si>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</si>
  <si>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</si>
  <si>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</si>
  <si>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</si>
  <si>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</si>
  <si>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</si>
  <si>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</si>
  <si>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</si>
  <si>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</si>
  <si>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</si>
  <si>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</si>
  <si>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</si>
  <si>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</si>
  <si>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</si>
  <si>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</si>
  <si>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</si>
  <si>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</si>
  <si>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</si>
  <si>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</si>
  <si>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</si>
  <si>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</si>
  <si>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</si>
  <si>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</si>
  <si>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</si>
  <si>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</si>
  <si>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</si>
  <si>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</si>
  <si>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</si>
  <si>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</si>
  <si>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</si>
  <si>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</si>
  <si>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</si>
  <si>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</si>
  <si>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</si>
  <si>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</si>
  <si>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</si>
  <si>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</si>
  <si>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</si>
  <si>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</si>
  <si>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</si>
  <si>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</si>
  <si>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</si>
  <si>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</si>
  <si>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</si>
  <si>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</si>
  <si>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</si>
  <si>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</si>
  <si>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</si>
  <si>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</si>
  <si>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</si>
  <si>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</si>
  <si>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</si>
  <si>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</si>
  <si>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</si>
  <si>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</si>
  <si>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</si>
  <si>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</si>
  <si>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</si>
  <si>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</si>
  <si>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</si>
  <si>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</si>
  <si>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</si>
  <si>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</si>
  <si>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</si>
  <si>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</si>
  <si>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</si>
  <si>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</si>
  <si>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</si>
  <si>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</si>
  <si>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</si>
  <si>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</si>
  <si>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</si>
  <si>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</si>
  <si>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Pour la signature de contrats de prêt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</si>
  <si>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</si>
  <si>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</si>
  <si>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</si>
  <si>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</si>
  <si>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</si>
  <si>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</si>
  <si>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</si>
  <si>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</si>
  <si>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</si>
  <si>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</si>
  <si>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</si>
  <si>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</si>
  <si>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</si>
  <si>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</si>
  <si>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</si>
  <si>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</si>
  <si>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</si>
  <si>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</si>
  <si>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</si>
  <si>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</si>
  <si>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</si>
  <si>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</si>
  <si>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</si>
  <si>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</si>
  <si>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</si>
  <si>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</si>
  <si>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</si>
  <si>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</si>
  <si>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</si>
  <si>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</si>
  <si>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</si>
  <si>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</si>
  <si>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</si>
  <si>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</si>
  <si>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</si>
  <si>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</si>
  <si>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</si>
  <si>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</si>
  <si>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</si>
  <si>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</si>
  <si>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</si>
  <si>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</si>
  <si>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</si>
  <si>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</si>
  <si>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</si>
  <si>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</si>
  <si>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</si>
  <si>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</si>
  <si>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</si>
  <si>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</si>
  <si>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</si>
  <si>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</si>
  <si>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</si>
  <si>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</si>
  <si>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</si>
  <si>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</si>
  <si>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</si>
  <si>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</si>
  <si>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</si>
  <si>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</si>
  <si>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</si>
  <si>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Véhicule</t>
  </si>
  <si>
    <t>Stock de matières et consommables</t>
  </si>
  <si>
    <t>Matériel informatique / électronique</t>
  </si>
  <si>
    <t>Entretien véhicule mécanique</t>
  </si>
  <si>
    <t>Nettoyage du véhicule</t>
  </si>
  <si>
    <t>Stationnement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</si>
  <si>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Courses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</si>
  <si>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Autres services</t>
    </r>
  </si>
  <si>
    <t>5) Vos charges variables (carburant…)</t>
  </si>
  <si>
    <t>Quel est, en % du prix de vente, le niveau de vos charges variables ?</t>
  </si>
  <si>
    <t>Les charges variables sont liées au niveau d’activité.</t>
  </si>
  <si>
    <t>Achats consommés - carburant</t>
  </si>
  <si>
    <t>Taxi</t>
  </si>
  <si>
    <t>Coût licence</t>
  </si>
  <si>
    <t>Plaque, lumière et éléments de communication</t>
  </si>
  <si>
    <t>Formation, examen</t>
  </si>
  <si>
    <t>Carte professionnelle</t>
  </si>
  <si>
    <t>Droits d’entrée franchise</t>
  </si>
  <si>
    <t>Coût location lumineux, taximètre, imprimante</t>
  </si>
  <si>
    <t>Contrôle technique</t>
  </si>
  <si>
    <t>Pour la signature des contrats</t>
  </si>
  <si>
    <t>Autre investissement</t>
  </si>
  <si>
    <t xml:space="preserve">Autres travaux </t>
  </si>
  <si>
    <t>Coût location licence</t>
  </si>
  <si>
    <t>Frais hébergement</t>
  </si>
  <si>
    <t>Coût fluides, énergie hors carburant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</si>
</sst>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249</v>
      </c>
      <c r="G3" s="232"/>
      <c r="H3" s="232"/>
      <c r="J3" t="s">
        <v>1</v>
      </c>
      <c r="K3" t="s">
        <v>63</v>
      </c>
      <c r="L3" t="s">
        <v>79</v>
      </c>
      <c r="N3" t="s">
        <v>80</v>
      </c>
    </row>
    <row r="4" spans="1:14" ht="11.25" customHeight="1" x14ac:dyDescent="0.35">
      <c r="A4" s="249"/>
      <c r="G4" s="232"/>
      <c r="H4" s="291" t="s">
        <v>251</v>
      </c>
      <c r="I4" s="291"/>
      <c r="J4" t="s">
        <v>85</v>
      </c>
      <c r="K4" t="s">
        <v>64</v>
      </c>
      <c r="L4" t="s">
        <v>67</v>
      </c>
      <c r="N4" t="s">
        <v>62</v>
      </c>
    </row>
    <row r="5" spans="1:14" ht="15.1" customHeight="1" x14ac:dyDescent="0.25">
      <c r="G5" s="232"/>
      <c r="H5" s="291"/>
      <c r="I5" s="291"/>
      <c r="J5" t="s">
        <v>84</v>
      </c>
      <c r="L5" t="s">
        <v>92</v>
      </c>
    </row>
    <row r="6" spans="1:14" ht="15.1" customHeight="1" x14ac:dyDescent="0.25">
      <c r="A6" s="275" t="s">
        <v>250</v>
      </c>
      <c r="B6" s="289"/>
      <c r="C6" s="289"/>
      <c r="G6" s="232"/>
      <c r="H6" s="292" t="s">
        <v>264</v>
      </c>
      <c r="I6" s="292"/>
      <c r="J6" t="s">
        <v>86</v>
      </c>
    </row>
    <row r="7" spans="1:14" ht="15.1" customHeight="1" x14ac:dyDescent="0.25">
      <c r="A7" s="275" t="s">
        <v>232</v>
      </c>
      <c r="B7" s="289" t="s">
        <v>281</v>
      </c>
      <c r="C7" s="289"/>
      <c r="D7" s="5" t="s">
        <v>3</v>
      </c>
      <c r="G7" s="232"/>
      <c r="H7" s="292"/>
      <c r="I7" s="292"/>
      <c r="J7" t="s">
        <v>87</v>
      </c>
    </row>
    <row r="8" spans="1:14" ht="15.1" customHeight="1" x14ac:dyDescent="0.25">
      <c r="A8" s="275" t="s">
        <v>0</v>
      </c>
      <c r="B8" s="289" t="s">
        <v>88</v>
      </c>
      <c r="C8" s="289"/>
      <c r="D8" s="5" t="s">
        <v>81</v>
      </c>
      <c r="G8" s="232"/>
      <c r="H8" s="232"/>
      <c r="J8" t="s">
        <v>88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43</v>
      </c>
      <c r="B10" s="286"/>
      <c r="C10" s="286"/>
      <c r="G10" s="232"/>
      <c r="H10" s="232"/>
    </row>
    <row r="11" spans="1:14" ht="15.1" customHeight="1" x14ac:dyDescent="0.25">
      <c r="A11" s="275" t="s">
        <v>219</v>
      </c>
      <c r="B11" s="289"/>
      <c r="C11" s="289"/>
      <c r="G11" s="232"/>
      <c r="H11" s="232"/>
      <c r="J11" t="s">
        <v>1</v>
      </c>
      <c r="K11" t="s">
        <v>89</v>
      </c>
    </row>
    <row r="12" spans="1:14" ht="15.75" customHeight="1" x14ac:dyDescent="0.25">
      <c r="A12" s="1"/>
      <c r="B12" s="290"/>
      <c r="C12" s="290"/>
      <c r="G12" s="232"/>
      <c r="H12" s="232"/>
      <c r="J12" t="s">
        <v>85</v>
      </c>
      <c r="K12" t="s">
        <v>89</v>
      </c>
    </row>
    <row r="13" spans="1:14" x14ac:dyDescent="0.25">
      <c r="A13" s="1" t="s">
        <v>66</v>
      </c>
      <c r="B13" s="288" t="s">
        <v>67</v>
      </c>
      <c r="C13" s="288"/>
      <c r="D13" s="288"/>
      <c r="E13" s="5" t="s">
        <v>81</v>
      </c>
      <c r="J13" t="s">
        <v>84</v>
      </c>
      <c r="K13" t="s">
        <v>90</v>
      </c>
    </row>
    <row r="14" spans="1:14" ht="36" customHeight="1" x14ac:dyDescent="0.3">
      <c r="A14" s="270" t="s">
        <v>36</v>
      </c>
      <c r="J14" t="s">
        <v>86</v>
      </c>
      <c r="K14" t="s">
        <v>90</v>
      </c>
    </row>
    <row r="15" spans="1:14" x14ac:dyDescent="0.25">
      <c r="A15" s="4" t="s">
        <v>213</v>
      </c>
      <c r="J15" t="s">
        <v>87</v>
      </c>
      <c r="K15" t="s">
        <v>90</v>
      </c>
    </row>
    <row r="16" spans="1:14" ht="15.1" x14ac:dyDescent="0.25">
      <c r="B16" s="222" t="s">
        <v>217</v>
      </c>
      <c r="J16" t="s">
        <v>88</v>
      </c>
      <c r="K16" t="s">
        <v>90</v>
      </c>
    </row>
    <row r="17" spans="1:8" ht="15.1" customHeight="1" x14ac:dyDescent="0.25">
      <c r="A17" s="276" t="s">
        <v>15</v>
      </c>
      <c r="B17" s="255">
        <v>400</v>
      </c>
      <c r="C17" s="5" t="s">
        <v>206</v>
      </c>
      <c r="G17" s="232"/>
      <c r="H17" s="232"/>
    </row>
    <row r="18" spans="1:8" ht="15.1" customHeight="1" x14ac:dyDescent="0.25">
      <c r="A18" s="276" t="s">
        <v>4</v>
      </c>
      <c r="B18" s="255"/>
      <c r="C18" s="5"/>
      <c r="G18" s="232"/>
      <c r="H18" s="232"/>
    </row>
    <row r="19" spans="1:8" ht="15.1" customHeight="1" x14ac:dyDescent="0.25">
      <c r="A19" s="276" t="s">
        <v>284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285</v>
      </c>
      <c r="B20" s="255">
        <v>60</v>
      </c>
      <c r="C20" s="5"/>
      <c r="G20" s="232"/>
      <c r="H20" s="232"/>
    </row>
    <row r="21" spans="1:8" ht="15.1" customHeight="1" x14ac:dyDescent="0.25">
      <c r="A21" s="276" t="s">
        <v>286</v>
      </c>
      <c r="B21" s="255"/>
      <c r="C21" s="5"/>
      <c r="G21" s="232"/>
      <c r="H21" s="232"/>
    </row>
    <row r="22" spans="1:8" ht="15.1" customHeight="1" x14ac:dyDescent="0.25">
      <c r="A22" s="276" t="s">
        <v>282</v>
      </c>
      <c r="B22" s="255">
        <v>140000</v>
      </c>
      <c r="C22" s="5"/>
      <c r="G22" s="232"/>
      <c r="H22" s="232"/>
    </row>
    <row r="23" spans="1:8" ht="15.1" customHeight="1" x14ac:dyDescent="0.25">
      <c r="A23" s="276" t="s">
        <v>5</v>
      </c>
      <c r="B23" s="255"/>
      <c r="C23" s="5"/>
      <c r="G23" s="232"/>
      <c r="H23" s="232"/>
    </row>
    <row r="24" spans="1:8" ht="15.1" customHeight="1" x14ac:dyDescent="0.25">
      <c r="A24" s="276" t="s">
        <v>16</v>
      </c>
      <c r="B24" s="255"/>
      <c r="C24" s="5"/>
      <c r="G24" s="232"/>
      <c r="H24" s="232"/>
    </row>
    <row r="25" spans="1:8" ht="15.1" customHeight="1" x14ac:dyDescent="0.25">
      <c r="A25" s="276" t="s">
        <v>27</v>
      </c>
      <c r="B25" s="255">
        <v>400</v>
      </c>
      <c r="C25" s="5" t="s">
        <v>207</v>
      </c>
      <c r="G25" s="232"/>
      <c r="H25" s="232"/>
    </row>
    <row r="26" spans="1:8" ht="15.75" customHeight="1" x14ac:dyDescent="0.25">
      <c r="A26" s="276" t="s">
        <v>17</v>
      </c>
      <c r="B26" s="255">
        <v>700</v>
      </c>
      <c r="C26" s="5" t="s">
        <v>289</v>
      </c>
      <c r="G26" s="232"/>
      <c r="H26" s="232"/>
    </row>
    <row r="27" spans="1:8" x14ac:dyDescent="0.25">
      <c r="A27" s="276" t="s">
        <v>283</v>
      </c>
      <c r="B27" s="255">
        <v>1500</v>
      </c>
      <c r="C27" s="5"/>
    </row>
    <row r="28" spans="1:8" x14ac:dyDescent="0.25">
      <c r="A28" s="276" t="s">
        <v>290</v>
      </c>
      <c r="B28" s="255"/>
      <c r="C28" s="5"/>
    </row>
    <row r="29" spans="1:8" x14ac:dyDescent="0.25">
      <c r="A29" s="276" t="s">
        <v>291</v>
      </c>
      <c r="B29" s="255"/>
      <c r="C29" s="5"/>
    </row>
    <row r="30" spans="1:8" x14ac:dyDescent="0.25">
      <c r="A30" s="276" t="s">
        <v>269</v>
      </c>
      <c r="B30" s="255">
        <v>35000</v>
      </c>
      <c r="C30" s="5"/>
    </row>
    <row r="31" spans="1:8" x14ac:dyDescent="0.25">
      <c r="A31" s="276" t="s">
        <v>271</v>
      </c>
      <c r="B31" s="255"/>
      <c r="C31" s="5"/>
    </row>
    <row r="32" spans="1:8" x14ac:dyDescent="0.25">
      <c r="A32" s="276" t="s">
        <v>270</v>
      </c>
      <c r="B32" s="255">
        <v>350</v>
      </c>
      <c r="C32" s="5"/>
    </row>
    <row r="33" spans="1:13" ht="15.25" thickBot="1" x14ac:dyDescent="0.3">
      <c r="A33" s="276" t="s">
        <v>18</v>
      </c>
      <c r="B33" s="255">
        <v>5000</v>
      </c>
      <c r="C33" s="227" t="s">
        <v>229</v>
      </c>
    </row>
    <row r="34" spans="1:13" ht="15.25" thickBot="1" x14ac:dyDescent="0.3">
      <c r="A34" s="8" t="s">
        <v>26</v>
      </c>
      <c r="B34" s="10">
        <f>SUM(B17:B33)</f>
        <v>184410</v>
      </c>
      <c r="C34" s="7"/>
    </row>
    <row r="35" spans="1:13" x14ac:dyDescent="0.25">
      <c r="C35" s="7"/>
    </row>
    <row r="36" spans="1:13" ht="15.95" x14ac:dyDescent="0.3">
      <c r="A36" s="2" t="s">
        <v>212</v>
      </c>
      <c r="C36" s="256">
        <v>7</v>
      </c>
      <c r="D36" s="3" t="s">
        <v>252</v>
      </c>
    </row>
    <row r="37" spans="1:13" x14ac:dyDescent="0.25">
      <c r="C37" s="7"/>
    </row>
    <row r="38" spans="1:13" ht="15.1" hidden="1" x14ac:dyDescent="0.25">
      <c r="B38" s="78" t="s">
        <v>75</v>
      </c>
      <c r="C38" s="75" t="s">
        <v>19</v>
      </c>
      <c r="D38" s="75" t="s">
        <v>20</v>
      </c>
      <c r="E38" s="76" t="s">
        <v>21</v>
      </c>
      <c r="F38" s="75" t="s">
        <v>68</v>
      </c>
      <c r="G38" s="75" t="s">
        <v>69</v>
      </c>
      <c r="H38" s="75" t="s">
        <v>70</v>
      </c>
      <c r="I38" s="75" t="s">
        <v>71</v>
      </c>
      <c r="J38" s="75" t="s">
        <v>72</v>
      </c>
      <c r="K38" s="75" t="s">
        <v>73</v>
      </c>
      <c r="L38" s="75" t="s">
        <v>74</v>
      </c>
      <c r="M38" s="75" t="s">
        <v>26</v>
      </c>
    </row>
    <row r="39" spans="1:13" ht="15.1" hidden="1" x14ac:dyDescent="0.25">
      <c r="B39" s="115">
        <f>SUM(B17,B19,B21,B25:B31)</f>
        <v>39000</v>
      </c>
      <c r="C39" s="116">
        <f t="shared" ref="C39:C54" si="0">IF(ISERROR($B39/$C$36),0,$B39/$C$36)</f>
        <v>5571.4285714285716</v>
      </c>
      <c r="D39" s="116">
        <f>IF($B39&gt;(SUM(C39:$C39)),IF(ISERROR($B39/$C$36),"",$B39/$C$36),0)</f>
        <v>5571.4285714285716</v>
      </c>
      <c r="E39" s="116">
        <f>IF($B39&gt;(SUM($C39:D39)),IF(ISERROR($B39/$C$36),"",$B39/$C$36),0)</f>
        <v>5571.4285714285716</v>
      </c>
      <c r="F39" s="116">
        <f>IF($B39&gt;(SUM($C39:E39)),IF(ISERROR($B39/$C$36),"",$B39/$C$36),0)</f>
        <v>5571.4285714285716</v>
      </c>
      <c r="G39" s="116">
        <f>IF($B39&gt;(SUM($C39:F39)),IF(ISERROR($B39/$C$36),"",$B39/$C$36),0)</f>
        <v>5571.4285714285716</v>
      </c>
      <c r="H39" s="116">
        <f>IF($B39&gt;(SUM($C39:G39)),IF(ISERROR($B39/$C$36),"",$B39/$C$36),0)</f>
        <v>5571.4285714285716</v>
      </c>
      <c r="I39" s="116">
        <f>IF($B39&gt;(SUM($C39:H39)),IF(ISERROR($B39/$C$36),"",$B39/$C$36),0)</f>
        <v>5571.4285714285716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39000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400</v>
      </c>
      <c r="C40" s="75">
        <f t="shared" si="0"/>
        <v>57.142857142857146</v>
      </c>
      <c r="D40" s="75">
        <f>IF($B40&gt;(SUM(C40:$C40)),IF(ISERROR($B40/$C$36),"",$B40/$C$36),0)</f>
        <v>57.142857142857146</v>
      </c>
      <c r="E40" s="75">
        <f>IF($B40&gt;(SUM($C40:D40)),IF(ISERROR($B40/$C$36),"",$B40/$C$36),0)</f>
        <v>57.142857142857146</v>
      </c>
      <c r="F40" s="75">
        <f>IF($B40&gt;(SUM($C40:E40)),IF(ISERROR($B40/$C$36),"",$B40/$C$36),0)</f>
        <v>57.142857142857146</v>
      </c>
      <c r="G40" s="75">
        <f>IF($B40&gt;(SUM($C40:F40)),IF(ISERROR($B40/$C$36),"",$B40/$C$36),0)</f>
        <v>57.142857142857146</v>
      </c>
      <c r="H40" s="75">
        <f>IF($B40&gt;(SUM($C40:G40)),IF(ISERROR($B40/$C$36),"",$B40/$C$36),0)</f>
        <v>57.142857142857146</v>
      </c>
      <c r="I40" s="75">
        <f>IF($B40&gt;(SUM($C40:H40)),IF(ISERROR($B40/$C$36),"",$B40/$C$36),0)</f>
        <v>57.142857142857146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400.00000000000006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Formation, examen</v>
      </c>
      <c r="B42" s="114">
        <f t="shared" si="1"/>
        <v>1000</v>
      </c>
      <c r="C42" s="75">
        <f t="shared" si="0"/>
        <v>142.85714285714286</v>
      </c>
      <c r="D42" s="75">
        <f>IF($B42&gt;(SUM(C42:$C42)),IF(ISERROR($B42/$C$36),"",$B42/$C$36),0)</f>
        <v>142.85714285714286</v>
      </c>
      <c r="E42" s="75">
        <f>IF($B42&gt;(SUM($C42:D42)),IF(ISERROR($B42/$C$36),"",$B42/$C$36),0)</f>
        <v>142.85714285714286</v>
      </c>
      <c r="F42" s="75">
        <f>IF($B42&gt;(SUM($C42:E42)),IF(ISERROR($B42/$C$36),"",$B42/$C$36),0)</f>
        <v>142.85714285714286</v>
      </c>
      <c r="G42" s="75">
        <f>IF($B42&gt;(SUM($C42:F42)),IF(ISERROR($B42/$C$36),"",$B42/$C$36),0)</f>
        <v>142.85714285714286</v>
      </c>
      <c r="H42" s="75">
        <f>IF($B42&gt;(SUM($C42:G42)),IF(ISERROR($B42/$C$36),"",$B42/$C$36),0)</f>
        <v>142.85714285714286</v>
      </c>
      <c r="I42" s="75">
        <f>IF($B42&gt;(SUM($C42:H42)),IF(ISERROR($B42/$C$36),"",$B42/$C$36),0)</f>
        <v>142.85714285714286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1000.0000000000001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 franchise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57.142857142857146</v>
      </c>
      <c r="D48" s="75">
        <f>IF($B48&gt;(SUM(C48:$C48)),IF(ISERROR($B48/$C$36),"",$B48/$C$36),0)</f>
        <v>57.142857142857146</v>
      </c>
      <c r="E48" s="75">
        <f>IF($B48&gt;(SUM($C48:D48)),IF(ISERROR($B48/$C$36),"",$B48/$C$36),0)</f>
        <v>57.142857142857146</v>
      </c>
      <c r="F48" s="75">
        <f>IF($B48&gt;(SUM($C48:E48)),IF(ISERROR($B48/$C$36),"",$B48/$C$36),0)</f>
        <v>57.142857142857146</v>
      </c>
      <c r="G48" s="75">
        <f>IF($B48&gt;(SUM($C48:F48)),IF(ISERROR($B48/$C$36),"",$B48/$C$36),0)</f>
        <v>57.142857142857146</v>
      </c>
      <c r="H48" s="75">
        <f>IF($B48&gt;(SUM($C48:G48)),IF(ISERROR($B48/$C$36),"",$B48/$C$36),0)</f>
        <v>57.142857142857146</v>
      </c>
      <c r="I48" s="75">
        <f>IF($B48&gt;(SUM($C48:H48)),IF(ISERROR($B48/$C$36),"",$B48/$C$36),0)</f>
        <v>57.142857142857146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Plaque, lumière et éléments de communication</v>
      </c>
      <c r="B50" s="114">
        <f t="shared" si="1"/>
        <v>1500</v>
      </c>
      <c r="C50" s="75">
        <f t="shared" si="0"/>
        <v>214.28571428571428</v>
      </c>
      <c r="D50" s="75">
        <f>IF($B50&gt;(SUM(C50:$C50)),IF(ISERROR($B50/$C$36),"",$B50/$C$36),0)</f>
        <v>214.28571428571428</v>
      </c>
      <c r="E50" s="75">
        <f>IF($B50&gt;(SUM($C50:D50)),IF(ISERROR($B50/$C$36),"",$B50/$C$36),0)</f>
        <v>214.28571428571428</v>
      </c>
      <c r="F50" s="75">
        <f>IF($B50&gt;(SUM($C50:E50)),IF(ISERROR($B50/$C$36),"",$B50/$C$36),0)</f>
        <v>214.28571428571428</v>
      </c>
      <c r="G50" s="75">
        <f>IF($B50&gt;(SUM($C50:F50)),IF(ISERROR($B50/$C$36),"",$B50/$C$36),0)</f>
        <v>214.28571428571428</v>
      </c>
      <c r="H50" s="75">
        <f>IF($B50&gt;(SUM($C50:G50)),IF(ISERROR($B50/$C$36),"",$B50/$C$36),0)</f>
        <v>214.28571428571428</v>
      </c>
      <c r="I50" s="75">
        <f>IF($B50&gt;(SUM($C50:H50)),IF(ISERROR($B50/$C$36),"",$B50/$C$36),0)</f>
        <v>214.28571428571428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1499.9999999999998</v>
      </c>
    </row>
    <row r="51" spans="1:13" ht="15.1" hidden="1" x14ac:dyDescent="0.25">
      <c r="A51" t="str">
        <f t="shared" ref="A51" si="8">A28</f>
        <v>Autre investissement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 xml:space="preserve">Autres travaux 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Véhicule</v>
      </c>
      <c r="B53" s="114">
        <f t="shared" si="1"/>
        <v>35000</v>
      </c>
      <c r="C53" s="75">
        <f t="shared" si="0"/>
        <v>5000</v>
      </c>
      <c r="D53" s="75">
        <f>IF($B53&gt;(SUM(C53:$C53)),IF(ISERROR($B53/$C$36),"",$B53/$C$36),0)</f>
        <v>5000</v>
      </c>
      <c r="E53" s="75">
        <f>IF($B53&gt;(SUM($C53:D53)),IF(ISERROR($B53/$C$36),"",$B53/$C$36),0)</f>
        <v>5000</v>
      </c>
      <c r="F53" s="75">
        <f>IF($B53&gt;(SUM($C53:E53)),IF(ISERROR($B53/$C$36),"",$B53/$C$36),0)</f>
        <v>5000</v>
      </c>
      <c r="G53" s="75">
        <f>IF($B53&gt;(SUM($C53:F53)),IF(ISERROR($B53/$C$36),"",$B53/$C$36),0)</f>
        <v>5000</v>
      </c>
      <c r="H53" s="75">
        <f>IF($B53&gt;(SUM($C53:G53)),IF(ISERROR($B53/$C$36),"",$B53/$C$36),0)</f>
        <v>5000</v>
      </c>
      <c r="I53" s="75">
        <f>IF($B53&gt;(SUM($C53:H53)),IF(ISERROR($B53/$C$36),"",$B53/$C$36),0)</f>
        <v>5000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35000</v>
      </c>
    </row>
    <row r="54" spans="1:13" ht="15.1" hidden="1" x14ac:dyDescent="0.25">
      <c r="A54" t="str">
        <f t="shared" ref="A54" si="11">A31</f>
        <v>Matériel informatique / électronique</v>
      </c>
      <c r="B54" s="114">
        <f t="shared" si="1"/>
        <v>0</v>
      </c>
      <c r="C54" s="75">
        <f t="shared" si="0"/>
        <v>0</v>
      </c>
      <c r="D54" s="75">
        <f>IF($B54&gt;(SUM(C54:$C54)),IF(ISERROR($B54/$C$36),"",$B54/$C$36),0)</f>
        <v>0</v>
      </c>
      <c r="E54" s="75">
        <f>IF($B54&gt;(SUM($C54:D54)),IF(ISERROR($B54/$C$36),"",$B54/$C$36),0)</f>
        <v>0</v>
      </c>
      <c r="F54" s="75">
        <f>IF($B54&gt;(SUM($C54:E54)),IF(ISERROR($B54/$C$36),"",$B54/$C$36),0)</f>
        <v>0</v>
      </c>
      <c r="G54" s="75">
        <f>IF($B54&gt;(SUM($C54:F54)),IF(ISERROR($B54/$C$36),"",$B54/$C$36),0)</f>
        <v>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37</v>
      </c>
    </row>
    <row r="57" spans="1:13" x14ac:dyDescent="0.25">
      <c r="A57" s="4" t="s">
        <v>253</v>
      </c>
    </row>
    <row r="58" spans="1:13" ht="22.5" customHeight="1" x14ac:dyDescent="0.25">
      <c r="B58" s="222" t="s">
        <v>217</v>
      </c>
    </row>
    <row r="59" spans="1:13" ht="15.1" customHeight="1" x14ac:dyDescent="0.25">
      <c r="A59" s="276" t="s">
        <v>228</v>
      </c>
      <c r="B59" s="255">
        <v>65000</v>
      </c>
      <c r="C59" s="6"/>
      <c r="F59" s="89"/>
      <c r="G59" s="233"/>
      <c r="H59" s="233"/>
    </row>
    <row r="60" spans="1:13" ht="15.1" customHeight="1" x14ac:dyDescent="0.25">
      <c r="A60" s="276" t="s">
        <v>52</v>
      </c>
      <c r="B60" s="255"/>
      <c r="C60" s="271" t="s">
        <v>248</v>
      </c>
      <c r="D60" s="272" t="s">
        <v>220</v>
      </c>
      <c r="F60" s="89"/>
      <c r="G60" s="233"/>
      <c r="H60" s="233"/>
    </row>
    <row r="61" spans="1:13" ht="15.1" customHeight="1" x14ac:dyDescent="0.25">
      <c r="A61" s="277" t="s">
        <v>268</v>
      </c>
      <c r="B61" s="255">
        <f>B34-B59</f>
        <v>119410</v>
      </c>
      <c r="C61" s="257">
        <v>3.6999999999999998E-2</v>
      </c>
      <c r="D61" s="258">
        <f>12*7</f>
        <v>84</v>
      </c>
      <c r="E61" s="89" t="s">
        <v>255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255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255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255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255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255</v>
      </c>
      <c r="F66" s="89"/>
      <c r="G66" s="233"/>
      <c r="H66" s="233"/>
    </row>
    <row r="67" spans="1:12" ht="15.75" customHeight="1" thickBot="1" x14ac:dyDescent="0.35">
      <c r="A67" s="8" t="s">
        <v>26</v>
      </c>
      <c r="B67" s="10">
        <f>SUM(B59:B66)</f>
        <v>184410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77</v>
      </c>
      <c r="B69" s="8" t="s">
        <v>76</v>
      </c>
      <c r="C69" s="81" t="s">
        <v>146</v>
      </c>
      <c r="D69" s="82" t="s">
        <v>147</v>
      </c>
      <c r="E69" s="8" t="s">
        <v>148</v>
      </c>
      <c r="F69" s="8" t="s">
        <v>78</v>
      </c>
      <c r="G69" s="124" t="s">
        <v>140</v>
      </c>
      <c r="H69" s="124" t="s">
        <v>141</v>
      </c>
      <c r="I69" s="124" t="s">
        <v>142</v>
      </c>
      <c r="J69" s="124" t="s">
        <v>143</v>
      </c>
      <c r="K69" s="124" t="s">
        <v>144</v>
      </c>
      <c r="L69" s="124" t="s">
        <v>145</v>
      </c>
    </row>
    <row r="70" spans="1:12" ht="15.1" hidden="1" x14ac:dyDescent="0.25">
      <c r="A70" t="s">
        <v>28</v>
      </c>
      <c r="B70" s="80">
        <f>IF(ISERROR((PMT(C61/12,D61,B61))*-1),0,(PMT(C61/12,D61,B61))*-1)</f>
        <v>1615.7539782309047</v>
      </c>
      <c r="C70" s="79">
        <f>B70*D61</f>
        <v>135723.33417139601</v>
      </c>
      <c r="D70" s="82">
        <f>IF(ISERROR(B61/D61),0,B61/D61)</f>
        <v>1421.547619047619</v>
      </c>
      <c r="E70" s="152">
        <f>B70-D70</f>
        <v>194.20635918328571</v>
      </c>
      <c r="F70" s="80">
        <f>E70*D61</f>
        <v>16313.334171396</v>
      </c>
      <c r="G70" s="153">
        <f>IF($D61&gt;12,$E70*12,$E70*$D61)</f>
        <v>2330.4763101994286</v>
      </c>
      <c r="H70" s="153">
        <f>IF($D61-12&lt;0,0,IF($D61&gt;24,$E70*12,($D61-12)*$E70))</f>
        <v>2330.4763101994286</v>
      </c>
      <c r="I70" s="153">
        <f>IF($D61-24&lt;0,0,IF($D61&gt;36,$E70*12,($D61-24)*$E70))</f>
        <v>2330.4763101994286</v>
      </c>
      <c r="J70" s="153">
        <f>IF($D61&gt;12,$D70*12,$D70*$D61)</f>
        <v>17058.571428571428</v>
      </c>
      <c r="K70" s="153">
        <f>IF($D61-12&lt;0,0,IF($D61&gt;24,$D70*12,($D61-12)*$D70))</f>
        <v>17058.571428571428</v>
      </c>
      <c r="L70" s="153">
        <f>IF($D61-24&lt;0,0,IF($D61&gt;36,$D70*12,($D61-24)*$D70))</f>
        <v>17058.571428571428</v>
      </c>
    </row>
    <row r="71" spans="1:12" ht="15.1" hidden="1" x14ac:dyDescent="0.25">
      <c r="A71" t="s">
        <v>29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30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38</v>
      </c>
      <c r="H73" s="79"/>
      <c r="I73" s="229">
        <f t="shared" ref="I73:L73" si="17">SUM(I70:I72)</f>
        <v>2330.4763101994286</v>
      </c>
      <c r="J73" s="203">
        <f t="shared" si="17"/>
        <v>17058.571428571428</v>
      </c>
      <c r="K73" s="203">
        <f t="shared" si="17"/>
        <v>17058.571428571428</v>
      </c>
      <c r="L73" s="203">
        <f t="shared" si="17"/>
        <v>17058.571428571428</v>
      </c>
    </row>
    <row r="74" spans="1:12" x14ac:dyDescent="0.25">
      <c r="A74" s="4" t="s">
        <v>254</v>
      </c>
    </row>
    <row r="75" spans="1:12" x14ac:dyDescent="0.25"/>
    <row r="76" spans="1:12" x14ac:dyDescent="0.25">
      <c r="B76" s="223" t="s">
        <v>214</v>
      </c>
      <c r="C76" s="223" t="s">
        <v>215</v>
      </c>
      <c r="D76" s="223" t="s">
        <v>216</v>
      </c>
    </row>
    <row r="77" spans="1:12" x14ac:dyDescent="0.25">
      <c r="A77" s="276" t="s">
        <v>6</v>
      </c>
      <c r="B77" s="259">
        <v>1500</v>
      </c>
      <c r="C77" s="260">
        <v>1550</v>
      </c>
      <c r="D77" s="261">
        <v>1600</v>
      </c>
    </row>
    <row r="78" spans="1:12" ht="15.1" customHeight="1" x14ac:dyDescent="0.25">
      <c r="A78" s="276" t="s">
        <v>7</v>
      </c>
      <c r="B78" s="259">
        <v>550</v>
      </c>
      <c r="C78" s="260">
        <v>560</v>
      </c>
      <c r="D78" s="261">
        <v>570</v>
      </c>
      <c r="G78" s="233"/>
      <c r="H78" s="233"/>
    </row>
    <row r="79" spans="1:12" ht="15.1" customHeight="1" x14ac:dyDescent="0.25">
      <c r="A79" s="276" t="s">
        <v>22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274</v>
      </c>
      <c r="B80" s="259">
        <v>600</v>
      </c>
      <c r="C80" s="260">
        <v>750</v>
      </c>
      <c r="D80" s="261">
        <v>900</v>
      </c>
      <c r="G80" s="233"/>
      <c r="H80" s="233"/>
    </row>
    <row r="81" spans="1:8" ht="15.1" customHeight="1" x14ac:dyDescent="0.25">
      <c r="A81" s="276" t="s">
        <v>293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294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10</v>
      </c>
      <c r="B83" s="259">
        <v>600</v>
      </c>
      <c r="C83" s="260">
        <v>650</v>
      </c>
      <c r="D83" s="261">
        <v>700</v>
      </c>
      <c r="E83" s="5"/>
      <c r="G83" s="233"/>
      <c r="H83" s="233"/>
    </row>
    <row r="84" spans="1:8" ht="15.1" customHeight="1" x14ac:dyDescent="0.25">
      <c r="A84" s="276" t="s">
        <v>11</v>
      </c>
      <c r="B84" s="259">
        <v>500</v>
      </c>
      <c r="C84" s="260">
        <v>600</v>
      </c>
      <c r="D84" s="261">
        <v>700</v>
      </c>
      <c r="E84" s="5"/>
      <c r="G84" s="233"/>
      <c r="H84" s="233"/>
    </row>
    <row r="85" spans="1:8" ht="15.1" customHeight="1" x14ac:dyDescent="0.25">
      <c r="A85" s="276" t="s">
        <v>272</v>
      </c>
      <c r="B85" s="259"/>
      <c r="C85" s="260">
        <v>350</v>
      </c>
      <c r="D85" s="261">
        <v>350</v>
      </c>
      <c r="E85" s="5"/>
      <c r="G85" s="233"/>
      <c r="H85" s="233"/>
    </row>
    <row r="86" spans="1:8" ht="15.1" customHeight="1" x14ac:dyDescent="0.25">
      <c r="A86" s="276" t="s">
        <v>273</v>
      </c>
      <c r="B86" s="259">
        <v>600</v>
      </c>
      <c r="C86" s="260">
        <v>650</v>
      </c>
      <c r="D86" s="261">
        <v>700</v>
      </c>
      <c r="E86" s="5"/>
      <c r="G86" s="233"/>
      <c r="H86" s="233"/>
    </row>
    <row r="87" spans="1:8" ht="15.75" customHeight="1" x14ac:dyDescent="0.25">
      <c r="A87" s="276" t="s">
        <v>24</v>
      </c>
      <c r="B87" s="259">
        <v>300</v>
      </c>
      <c r="C87" s="260">
        <v>300</v>
      </c>
      <c r="D87" s="261">
        <v>300</v>
      </c>
      <c r="E87" s="5"/>
      <c r="G87" s="233"/>
      <c r="H87" s="233"/>
    </row>
    <row r="88" spans="1:8" x14ac:dyDescent="0.25">
      <c r="A88" s="276" t="s">
        <v>292</v>
      </c>
      <c r="B88" s="259"/>
      <c r="C88" s="260"/>
      <c r="D88" s="261"/>
      <c r="E88" s="5"/>
    </row>
    <row r="89" spans="1:8" x14ac:dyDescent="0.25">
      <c r="A89" s="276" t="s">
        <v>12</v>
      </c>
      <c r="B89" s="259">
        <v>2700</v>
      </c>
      <c r="C89" s="260">
        <v>2700</v>
      </c>
      <c r="D89" s="261">
        <v>2700</v>
      </c>
      <c r="E89" s="5"/>
    </row>
    <row r="90" spans="1:8" x14ac:dyDescent="0.25">
      <c r="A90" s="276" t="s">
        <v>13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23</v>
      </c>
      <c r="B91" s="259"/>
      <c r="C91" s="260">
        <v>600</v>
      </c>
      <c r="D91" s="261">
        <v>650</v>
      </c>
      <c r="E91" s="89" t="s">
        <v>82</v>
      </c>
    </row>
    <row r="92" spans="1:8" x14ac:dyDescent="0.25">
      <c r="A92" s="100" t="s">
        <v>25</v>
      </c>
    </row>
    <row r="93" spans="1:8" x14ac:dyDescent="0.25">
      <c r="A93" s="278" t="s">
        <v>287</v>
      </c>
      <c r="B93" s="259">
        <v>500</v>
      </c>
      <c r="C93" s="260">
        <v>550</v>
      </c>
      <c r="D93" s="261">
        <v>600</v>
      </c>
      <c r="E93" s="89" t="s">
        <v>256</v>
      </c>
    </row>
    <row r="94" spans="1:8" x14ac:dyDescent="0.25">
      <c r="A94" s="278" t="s">
        <v>288</v>
      </c>
      <c r="B94" s="259">
        <v>90</v>
      </c>
      <c r="C94" s="260">
        <v>90</v>
      </c>
      <c r="D94" s="261">
        <v>90</v>
      </c>
      <c r="E94" s="89" t="s">
        <v>256</v>
      </c>
    </row>
    <row r="95" spans="1:8" x14ac:dyDescent="0.25">
      <c r="A95" s="278"/>
      <c r="B95" s="259"/>
      <c r="C95" s="260"/>
      <c r="D95" s="261"/>
      <c r="E95" s="89" t="s">
        <v>256</v>
      </c>
    </row>
    <row r="96" spans="1:8" ht="6.1" customHeight="1" thickBot="1" x14ac:dyDescent="0.3"/>
    <row r="97" spans="1:9" ht="15.25" thickBot="1" x14ac:dyDescent="0.3">
      <c r="A97" s="8" t="s">
        <v>26</v>
      </c>
      <c r="B97" s="10">
        <f>SUM(B77:B95)</f>
        <v>8940</v>
      </c>
      <c r="C97" s="10">
        <f>SUM(C77:C95)</f>
        <v>10450</v>
      </c>
      <c r="D97" s="10">
        <f>SUM(D77:D95)</f>
        <v>11060</v>
      </c>
    </row>
    <row r="98" spans="1:9" x14ac:dyDescent="0.25"/>
    <row r="99" spans="1:9" ht="24.1" customHeight="1" x14ac:dyDescent="0.3">
      <c r="A99" s="270" t="s">
        <v>95</v>
      </c>
    </row>
    <row r="100" spans="1:9" ht="19.600000000000001" customHeight="1" x14ac:dyDescent="0.25">
      <c r="A100" s="4" t="s">
        <v>260</v>
      </c>
    </row>
    <row r="101" spans="1:9" x14ac:dyDescent="0.25"/>
    <row r="102" spans="1:9" ht="29.1" x14ac:dyDescent="0.25">
      <c r="A102" s="91" t="s">
        <v>275</v>
      </c>
      <c r="B102" s="11" t="s">
        <v>31</v>
      </c>
      <c r="C102" s="11" t="s">
        <v>32</v>
      </c>
      <c r="D102" s="11" t="s">
        <v>33</v>
      </c>
      <c r="F102" s="204" t="s">
        <v>276</v>
      </c>
      <c r="G102" s="11" t="s">
        <v>31</v>
      </c>
      <c r="H102" s="11" t="s">
        <v>32</v>
      </c>
      <c r="I102" s="11" t="s">
        <v>33</v>
      </c>
    </row>
    <row r="103" spans="1:9" x14ac:dyDescent="0.25">
      <c r="A103" s="280" t="s">
        <v>182</v>
      </c>
      <c r="B103" s="262">
        <v>23</v>
      </c>
      <c r="C103" s="255">
        <v>220</v>
      </c>
      <c r="D103" s="12">
        <f>B103*C103</f>
        <v>5060</v>
      </c>
      <c r="F103" s="281" t="s">
        <v>182</v>
      </c>
      <c r="G103" s="262"/>
      <c r="H103" s="255"/>
      <c r="I103" s="12">
        <f>G103*H103</f>
        <v>0</v>
      </c>
    </row>
    <row r="104" spans="1:9" x14ac:dyDescent="0.25">
      <c r="A104" s="279" t="s">
        <v>183</v>
      </c>
      <c r="B104" s="262">
        <v>22</v>
      </c>
      <c r="C104" s="255">
        <v>220</v>
      </c>
      <c r="D104" s="12">
        <f t="shared" ref="D104:D114" si="18">B104*C104</f>
        <v>4840</v>
      </c>
      <c r="F104" s="282" t="s">
        <v>183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184</v>
      </c>
      <c r="B105" s="262">
        <v>25</v>
      </c>
      <c r="C105" s="255">
        <v>220</v>
      </c>
      <c r="D105" s="12">
        <f t="shared" si="18"/>
        <v>5500</v>
      </c>
      <c r="F105" s="282" t="s">
        <v>184</v>
      </c>
      <c r="G105" s="262"/>
      <c r="H105" s="255"/>
      <c r="I105" s="12">
        <f t="shared" si="19"/>
        <v>0</v>
      </c>
    </row>
    <row r="106" spans="1:9" x14ac:dyDescent="0.25">
      <c r="A106" s="279" t="s">
        <v>189</v>
      </c>
      <c r="B106" s="262">
        <v>23</v>
      </c>
      <c r="C106" s="255">
        <v>220</v>
      </c>
      <c r="D106" s="12">
        <f t="shared" si="18"/>
        <v>5060</v>
      </c>
      <c r="F106" s="282" t="s">
        <v>189</v>
      </c>
      <c r="G106" s="262"/>
      <c r="H106" s="255"/>
      <c r="I106" s="12">
        <f t="shared" si="19"/>
        <v>0</v>
      </c>
    </row>
    <row r="107" spans="1:9" x14ac:dyDescent="0.25">
      <c r="A107" s="279" t="s">
        <v>191</v>
      </c>
      <c r="B107" s="262">
        <v>25</v>
      </c>
      <c r="C107" s="255">
        <v>220</v>
      </c>
      <c r="D107" s="12">
        <f t="shared" si="18"/>
        <v>5500</v>
      </c>
      <c r="F107" s="282" t="s">
        <v>191</v>
      </c>
      <c r="G107" s="262"/>
      <c r="H107" s="255"/>
      <c r="I107" s="12">
        <f t="shared" si="19"/>
        <v>0</v>
      </c>
    </row>
    <row r="108" spans="1:9" x14ac:dyDescent="0.25">
      <c r="A108" s="279" t="s">
        <v>192</v>
      </c>
      <c r="B108" s="262">
        <v>25</v>
      </c>
      <c r="C108" s="255">
        <v>240</v>
      </c>
      <c r="D108" s="12">
        <f t="shared" si="18"/>
        <v>6000</v>
      </c>
      <c r="F108" s="282" t="s">
        <v>192</v>
      </c>
      <c r="G108" s="262"/>
      <c r="H108" s="255"/>
      <c r="I108" s="12">
        <f t="shared" si="19"/>
        <v>0</v>
      </c>
    </row>
    <row r="109" spans="1:9" x14ac:dyDescent="0.25">
      <c r="A109" s="279" t="s">
        <v>193</v>
      </c>
      <c r="B109" s="262">
        <v>25</v>
      </c>
      <c r="C109" s="255">
        <v>240</v>
      </c>
      <c r="D109" s="12">
        <f t="shared" si="18"/>
        <v>6000</v>
      </c>
      <c r="F109" s="282" t="s">
        <v>193</v>
      </c>
      <c r="G109" s="262"/>
      <c r="H109" s="255"/>
      <c r="I109" s="12">
        <f t="shared" si="19"/>
        <v>0</v>
      </c>
    </row>
    <row r="110" spans="1:9" x14ac:dyDescent="0.25">
      <c r="A110" s="279" t="s">
        <v>194</v>
      </c>
      <c r="B110" s="262">
        <v>10</v>
      </c>
      <c r="C110" s="255">
        <v>240</v>
      </c>
      <c r="D110" s="12">
        <f t="shared" si="18"/>
        <v>2400</v>
      </c>
      <c r="F110" s="282" t="s">
        <v>194</v>
      </c>
      <c r="G110" s="262"/>
      <c r="H110" s="255"/>
      <c r="I110" s="12">
        <f t="shared" si="19"/>
        <v>0</v>
      </c>
    </row>
    <row r="111" spans="1:9" x14ac:dyDescent="0.25">
      <c r="A111" s="279" t="s">
        <v>195</v>
      </c>
      <c r="B111" s="262">
        <v>25</v>
      </c>
      <c r="C111" s="255">
        <v>260</v>
      </c>
      <c r="D111" s="12">
        <f t="shared" si="18"/>
        <v>6500</v>
      </c>
      <c r="F111" s="282" t="s">
        <v>195</v>
      </c>
      <c r="G111" s="262"/>
      <c r="H111" s="255"/>
      <c r="I111" s="12">
        <f t="shared" si="19"/>
        <v>0</v>
      </c>
    </row>
    <row r="112" spans="1:9" x14ac:dyDescent="0.25">
      <c r="A112" s="279" t="s">
        <v>196</v>
      </c>
      <c r="B112" s="262">
        <v>25</v>
      </c>
      <c r="C112" s="255">
        <v>260</v>
      </c>
      <c r="D112" s="12">
        <f t="shared" si="18"/>
        <v>6500</v>
      </c>
      <c r="F112" s="282" t="s">
        <v>196</v>
      </c>
      <c r="G112" s="262"/>
      <c r="H112" s="255"/>
      <c r="I112" s="12">
        <f t="shared" si="19"/>
        <v>0</v>
      </c>
    </row>
    <row r="113" spans="1:9" x14ac:dyDescent="0.25">
      <c r="A113" s="279" t="s">
        <v>197</v>
      </c>
      <c r="B113" s="262">
        <v>25</v>
      </c>
      <c r="C113" s="255">
        <v>260</v>
      </c>
      <c r="D113" s="12">
        <f t="shared" si="18"/>
        <v>6500</v>
      </c>
      <c r="F113" s="282" t="s">
        <v>197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198</v>
      </c>
      <c r="B114" s="262">
        <v>25</v>
      </c>
      <c r="C114" s="255">
        <v>260</v>
      </c>
      <c r="D114" s="12">
        <f t="shared" si="18"/>
        <v>6500</v>
      </c>
      <c r="F114" s="282" t="s">
        <v>198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26</v>
      </c>
      <c r="D115" s="13">
        <f>SUM(D103:D114)</f>
        <v>66360</v>
      </c>
      <c r="F115" s="205" t="s">
        <v>26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34</v>
      </c>
      <c r="D117" s="263">
        <v>0.15</v>
      </c>
      <c r="F117" s="206" t="s">
        <v>94</v>
      </c>
      <c r="I117" s="263"/>
    </row>
    <row r="118" spans="1:9" ht="15.95" x14ac:dyDescent="0.3">
      <c r="A118" s="2" t="s">
        <v>35</v>
      </c>
      <c r="D118" s="263">
        <v>0.15</v>
      </c>
      <c r="F118" s="206" t="s">
        <v>93</v>
      </c>
      <c r="I118" s="263"/>
    </row>
    <row r="119" spans="1:9" x14ac:dyDescent="0.25"/>
    <row r="120" spans="1:9" ht="18" x14ac:dyDescent="0.3">
      <c r="A120" s="270" t="s">
        <v>277</v>
      </c>
    </row>
    <row r="121" spans="1:9" x14ac:dyDescent="0.25">
      <c r="A121" s="287" t="s">
        <v>279</v>
      </c>
      <c r="B121" s="287"/>
      <c r="C121" s="287"/>
      <c r="D121" s="287"/>
    </row>
    <row r="122" spans="1:9" x14ac:dyDescent="0.25"/>
    <row r="123" spans="1:9" ht="15.95" x14ac:dyDescent="0.3">
      <c r="A123" s="18" t="s">
        <v>278</v>
      </c>
      <c r="D123" s="264">
        <v>0.08</v>
      </c>
      <c r="E123" s="160" t="s">
        <v>157</v>
      </c>
    </row>
    <row r="124" spans="1:9" x14ac:dyDescent="0.25">
      <c r="D124" s="285" t="s">
        <v>257</v>
      </c>
    </row>
    <row r="125" spans="1:9" ht="18" x14ac:dyDescent="0.3">
      <c r="A125" s="270" t="s">
        <v>41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225</v>
      </c>
      <c r="D127" s="265">
        <v>0</v>
      </c>
      <c r="E127" s="160" t="s">
        <v>258</v>
      </c>
      <c r="G127" s="252"/>
      <c r="H127" s="252"/>
    </row>
    <row r="128" spans="1:9" ht="15.75" customHeight="1" x14ac:dyDescent="0.3">
      <c r="A128" s="19"/>
      <c r="C128" s="124" t="s">
        <v>226</v>
      </c>
      <c r="D128" s="265">
        <v>0</v>
      </c>
      <c r="E128" s="160" t="s">
        <v>259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58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19</v>
      </c>
      <c r="C132" s="9" t="s">
        <v>20</v>
      </c>
      <c r="D132" s="9" t="s">
        <v>21</v>
      </c>
      <c r="G132" s="252"/>
      <c r="H132" s="252"/>
    </row>
    <row r="133" spans="1:9" ht="15.1" customHeight="1" x14ac:dyDescent="0.25">
      <c r="A133" s="283" t="s">
        <v>221</v>
      </c>
      <c r="B133" s="259"/>
      <c r="C133" s="260"/>
      <c r="D133" s="261"/>
      <c r="E133" s="207" t="s">
        <v>208</v>
      </c>
      <c r="G133" s="252"/>
      <c r="H133" s="252"/>
    </row>
    <row r="134" spans="1:9" ht="15.1" customHeight="1" x14ac:dyDescent="0.25">
      <c r="A134" s="283" t="s">
        <v>222</v>
      </c>
      <c r="B134" s="259">
        <v>20000</v>
      </c>
      <c r="C134" s="260">
        <v>28000</v>
      </c>
      <c r="D134" s="261">
        <v>35000</v>
      </c>
      <c r="E134" s="207" t="s">
        <v>208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236</v>
      </c>
      <c r="C136" s="266" t="s">
        <v>63</v>
      </c>
      <c r="D136" s="94" t="s">
        <v>261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237</v>
      </c>
      <c r="B138" s="9" t="s">
        <v>19</v>
      </c>
      <c r="C138" s="9" t="s">
        <v>20</v>
      </c>
      <c r="D138" s="9" t="s">
        <v>21</v>
      </c>
      <c r="F138" s="1" t="s">
        <v>238</v>
      </c>
      <c r="G138" s="243" t="s">
        <v>19</v>
      </c>
      <c r="H138" s="244" t="s">
        <v>20</v>
      </c>
      <c r="I138" s="9" t="s">
        <v>21</v>
      </c>
    </row>
    <row r="139" spans="1:9" ht="15.1" hidden="1" customHeight="1" x14ac:dyDescent="0.25">
      <c r="A139" t="s">
        <v>65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65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8361.36</v>
      </c>
      <c r="C140" s="71">
        <f>+'Plan financier à imprimer'!AH11*12.6%</f>
        <v>9615.5640000000003</v>
      </c>
      <c r="D140" s="71">
        <f>+'Plan financier à imprimer'!AI11*12.6%</f>
        <v>11057.8986</v>
      </c>
      <c r="E140" s="93" t="s">
        <v>105</v>
      </c>
      <c r="F140" t="s">
        <v>1</v>
      </c>
      <c r="G140" s="245">
        <f>+'Plan financier à imprimer'!AG11*6.3%</f>
        <v>4180.68</v>
      </c>
      <c r="H140" s="247">
        <f>+'Plan financier à imprimer'!AH11*12.6%</f>
        <v>9615.5640000000003</v>
      </c>
      <c r="I140" s="71">
        <f>+'Plan financier à imprimer'!AI11*12.6%</f>
        <v>11057.8986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106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85</v>
      </c>
      <c r="B142" s="71">
        <f>IF('Plan financier à imprimer'!AG52*30%&lt;3456,3456,'Plan financier à imprimer'!AG52*30%)</f>
        <v>13262.7885355116</v>
      </c>
      <c r="C142" s="71">
        <f>IF('Plan financier à imprimer'!AH52*30%&lt;3456,3456,'Plan financier à imprimer'!AH52*30%)</f>
        <v>15557.092535511601</v>
      </c>
      <c r="D142" s="71">
        <f>IF('Plan financier à imprimer'!AI52*30%&lt;3456,3456,'Plan financier à imprimer'!AI52*30%)</f>
        <v>18533.492135511598</v>
      </c>
      <c r="F142" t="s">
        <v>85</v>
      </c>
      <c r="G142" s="245">
        <v>1305</v>
      </c>
      <c r="H142" s="248">
        <f>IF('Plan financier à imprimer'!AH52*32%&lt;3456,3456,'Plan financier à imprimer'!AH52*32%)</f>
        <v>16594.232037879043</v>
      </c>
      <c r="I142" s="72">
        <f>IF('Plan financier à imprimer'!AI52*32%&lt;3456,3456,'Plan financier à imprimer'!AI52*32%)</f>
        <v>19769.058277879041</v>
      </c>
    </row>
    <row r="143" spans="1:9" ht="15.75" hidden="1" customHeight="1" x14ac:dyDescent="0.25">
      <c r="A143" t="s">
        <v>84</v>
      </c>
      <c r="B143" s="71">
        <f>IF(B134*45%&lt;3456,3456,B134*45%)</f>
        <v>9000</v>
      </c>
      <c r="C143" s="71">
        <f>IF(C134*45%&lt;3456,3456,C134*45%)</f>
        <v>12600</v>
      </c>
      <c r="D143" s="71">
        <f>IF(D134*45%&lt;3456,3456,D134*45%)</f>
        <v>15750</v>
      </c>
      <c r="F143" t="s">
        <v>84</v>
      </c>
      <c r="G143" s="245">
        <v>1305</v>
      </c>
      <c r="H143" s="248">
        <f>IF(C134*45%&lt;3456,3456,C134*45%)</f>
        <v>12600</v>
      </c>
      <c r="I143" s="72">
        <f>IF(D134*45%&lt;3456,3456,D134*45%)</f>
        <v>15750</v>
      </c>
    </row>
    <row r="144" spans="1:9" ht="15.1" hidden="1" x14ac:dyDescent="0.25">
      <c r="A144" t="s">
        <v>86</v>
      </c>
      <c r="B144" s="71">
        <f>IF(B134*45%&lt;3456,3456,B134*45%)</f>
        <v>9000</v>
      </c>
      <c r="C144" s="71">
        <f>IF(C134*45%&lt;3456,3456,C134*45%)</f>
        <v>12600</v>
      </c>
      <c r="D144" s="71">
        <f>IF(D134*45%&lt;3456,3456,D134*45%)</f>
        <v>15750</v>
      </c>
      <c r="F144" t="s">
        <v>86</v>
      </c>
      <c r="G144" s="245">
        <v>1305</v>
      </c>
      <c r="H144" s="248">
        <f>IF(C134*45%&lt;3456,3456,C134*45%)</f>
        <v>12600</v>
      </c>
      <c r="I144" s="72">
        <f>IF(D134*45%&lt;3456,3456,D134*45%)</f>
        <v>15750</v>
      </c>
    </row>
    <row r="145" spans="1:9" ht="15.1" hidden="1" x14ac:dyDescent="0.25">
      <c r="A145" t="s">
        <v>87</v>
      </c>
      <c r="B145" s="71">
        <f>B134*70%</f>
        <v>14000</v>
      </c>
      <c r="C145" s="71">
        <f t="shared" ref="C145:D145" si="20">C134*70%</f>
        <v>19600</v>
      </c>
      <c r="D145" s="71">
        <f t="shared" si="20"/>
        <v>24500</v>
      </c>
      <c r="F145" t="s">
        <v>87</v>
      </c>
      <c r="G145" s="245">
        <f>B134*33%</f>
        <v>6600</v>
      </c>
      <c r="H145" s="245">
        <f>C134*70%</f>
        <v>19600</v>
      </c>
      <c r="I145" s="245">
        <f>D134*70%</f>
        <v>24500</v>
      </c>
    </row>
    <row r="146" spans="1:9" ht="15.1" hidden="1" x14ac:dyDescent="0.25">
      <c r="A146" t="s">
        <v>88</v>
      </c>
      <c r="B146" s="71">
        <f>B134*70%</f>
        <v>14000</v>
      </c>
      <c r="C146" s="71">
        <f t="shared" ref="C146:D146" si="21">C134*70%</f>
        <v>19600</v>
      </c>
      <c r="D146" s="71">
        <f t="shared" si="21"/>
        <v>24500</v>
      </c>
      <c r="F146" t="s">
        <v>88</v>
      </c>
      <c r="G146" s="245">
        <f>B134*33%</f>
        <v>6600</v>
      </c>
      <c r="H146" s="245">
        <f>C134*70%</f>
        <v>19600</v>
      </c>
      <c r="I146" s="245">
        <f>D134*70%</f>
        <v>24500</v>
      </c>
    </row>
    <row r="147" spans="1:9" ht="15.1" hidden="1" x14ac:dyDescent="0.25">
      <c r="A147" s="1" t="s">
        <v>83</v>
      </c>
      <c r="B147" s="73">
        <f>SUMIF($A$140:$A$146,$B$8,B140:B146)</f>
        <v>14000</v>
      </c>
      <c r="C147" s="73">
        <f>SUMIF($A$140:$A$146,$B$8,C140:C146)</f>
        <v>19600</v>
      </c>
      <c r="D147" s="73">
        <f>SUMIF($A$140:$A$146,$B$8,D140:D146)</f>
        <v>24500</v>
      </c>
      <c r="F147" s="1" t="s">
        <v>83</v>
      </c>
      <c r="G147" s="245">
        <f>SUMIF($A$140:$A$146,$B$8,G140:G146)</f>
        <v>6600</v>
      </c>
      <c r="H147" s="246">
        <f>SUMIF($A$140:$A$146,$B$8,H140:H146)</f>
        <v>19600</v>
      </c>
      <c r="I147" s="246">
        <f>SUMIF($A$140:$A$146,$B$8,I140:I146)</f>
        <v>24500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262</v>
      </c>
      <c r="G149" s="252"/>
      <c r="H149" s="252"/>
    </row>
    <row r="150" spans="1:9" ht="15.75" customHeight="1" thickBot="1" x14ac:dyDescent="0.3">
      <c r="D150" s="222" t="s">
        <v>223</v>
      </c>
      <c r="G150" s="252"/>
      <c r="H150" s="252"/>
    </row>
    <row r="151" spans="1:9" ht="16.45" customHeight="1" thickBot="1" x14ac:dyDescent="0.35">
      <c r="A151" s="19" t="s">
        <v>39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263</v>
      </c>
      <c r="E153" s="171"/>
      <c r="G153" s="252"/>
      <c r="H153" s="252"/>
    </row>
    <row r="154" spans="1:9" ht="15.75" customHeight="1" thickBot="1" x14ac:dyDescent="0.3">
      <c r="D154" s="222" t="s">
        <v>223</v>
      </c>
      <c r="E154" s="171"/>
      <c r="G154" s="252"/>
      <c r="H154" s="252"/>
    </row>
    <row r="155" spans="1:9" ht="16.45" customHeight="1" thickBot="1" x14ac:dyDescent="0.35">
      <c r="A155" s="19" t="s">
        <v>40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247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8h0bUign1YygKZpWbEAhRda3XXkrfw61W+way+UGZSK4zgJMF9KERv3M2eBPrF33mosPQRiHJhHGLgbVZqfxBA==" saltValue="+0tVdLfHMnOYo6+knjNas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1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108</v>
      </c>
      <c r="L2" s="303"/>
      <c r="M2" s="303"/>
      <c r="N2" s="303"/>
      <c r="O2" s="303"/>
      <c r="P2" s="303"/>
      <c r="Q2" s="304"/>
      <c r="T2" s="302" t="s">
        <v>113</v>
      </c>
      <c r="U2" s="303"/>
      <c r="V2" s="303"/>
      <c r="W2" s="303"/>
      <c r="X2" s="303"/>
      <c r="Y2" s="303"/>
      <c r="Z2" s="304"/>
      <c r="AC2" s="302" t="s">
        <v>54</v>
      </c>
      <c r="AD2" s="303"/>
      <c r="AE2" s="303"/>
      <c r="AF2" s="303"/>
      <c r="AG2" s="303"/>
      <c r="AH2" s="303"/>
      <c r="AI2" s="304"/>
      <c r="AL2" s="302" t="s">
        <v>125</v>
      </c>
      <c r="AM2" s="303"/>
      <c r="AN2" s="303"/>
      <c r="AO2" s="303"/>
      <c r="AP2" s="303"/>
      <c r="AQ2" s="303"/>
      <c r="AR2" s="303"/>
      <c r="AS2" s="303"/>
      <c r="AT2" s="304"/>
      <c r="AW2" s="302" t="s">
        <v>149</v>
      </c>
      <c r="AX2" s="303"/>
      <c r="AY2" s="303"/>
      <c r="AZ2" s="303"/>
      <c r="BA2" s="303"/>
      <c r="BB2" s="303"/>
      <c r="BC2" s="304"/>
      <c r="BF2" s="302" t="s">
        <v>165</v>
      </c>
      <c r="BG2" s="303"/>
      <c r="BH2" s="303"/>
      <c r="BI2" s="303"/>
      <c r="BJ2" s="303"/>
      <c r="BK2" s="303"/>
      <c r="BL2" s="304"/>
      <c r="BO2" s="302" t="s">
        <v>181</v>
      </c>
      <c r="BP2" s="303"/>
      <c r="BQ2" s="303"/>
      <c r="BR2" s="303"/>
      <c r="BS2" s="303"/>
      <c r="BT2" s="303"/>
      <c r="BU2" s="303"/>
      <c r="BV2" s="304"/>
      <c r="BY2" s="302" t="s">
        <v>190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42</v>
      </c>
      <c r="F6" s="325"/>
      <c r="G6" s="325"/>
      <c r="H6" s="27"/>
      <c r="K6" s="1" t="s">
        <v>44</v>
      </c>
      <c r="M6" s="3" t="str">
        <f>IF(ISBLANK('Données à saisir'!$B7),"",('Données à saisir'!$B7))</f>
        <v>Taxi</v>
      </c>
      <c r="T6" s="1" t="s">
        <v>44</v>
      </c>
      <c r="V6" s="3" t="str">
        <f>IF(ISBLANK('Données à saisir'!$B7),"",('Données à saisir'!$B7))</f>
        <v>Taxi</v>
      </c>
      <c r="AC6" s="1" t="s">
        <v>44</v>
      </c>
      <c r="AE6" s="3" t="str">
        <f>IF(ISBLANK('Données à saisir'!$B7),"",('Données à saisir'!$B7))</f>
        <v>Taxi</v>
      </c>
      <c r="AL6" s="1" t="s">
        <v>44</v>
      </c>
      <c r="AN6" s="3" t="str">
        <f>IF(ISBLANK('Données à saisir'!$B7),"",('Données à saisir'!$B7))</f>
        <v>Taxi</v>
      </c>
      <c r="AW6" s="1" t="s">
        <v>44</v>
      </c>
      <c r="AY6" s="3" t="str">
        <f>IF(ISBLANK('Données à saisir'!$B7),"",('Données à saisir'!$B7))</f>
        <v>Taxi</v>
      </c>
      <c r="BF6" s="1" t="s">
        <v>44</v>
      </c>
      <c r="BH6" s="3" t="str">
        <f>IF(ISBLANK('Données à saisir'!$B7),"",('Données à saisir'!$B7))</f>
        <v>Taxi</v>
      </c>
      <c r="BO6" s="1" t="s">
        <v>44</v>
      </c>
      <c r="BQ6" s="3" t="str">
        <f>IF(ISBLANK('Données à saisir'!$B7),"",('Données à saisir'!$B7))</f>
        <v>Taxi</v>
      </c>
      <c r="BV6" s="193" t="s">
        <v>188</v>
      </c>
      <c r="BY6" s="1" t="s">
        <v>44</v>
      </c>
      <c r="CA6" s="3" t="str">
        <f>IF(ISBLANK('Données à saisir'!$B7),"",('Données à saisir'!$B7))</f>
        <v>Taxi</v>
      </c>
      <c r="CF6" s="193" t="s">
        <v>188</v>
      </c>
    </row>
    <row r="7" spans="2:84" ht="15.1" customHeight="1" x14ac:dyDescent="0.25">
      <c r="B7" s="26"/>
      <c r="E7" s="325"/>
      <c r="F7" s="325"/>
      <c r="G7" s="325"/>
      <c r="H7" s="27"/>
      <c r="K7" s="1" t="s">
        <v>45</v>
      </c>
      <c r="M7" s="3" t="str">
        <f>IF(ISBLANK('Données à saisir'!$B6),"",('Données à saisir'!$B6))</f>
        <v/>
      </c>
      <c r="T7" s="1" t="s">
        <v>45</v>
      </c>
      <c r="V7" s="3" t="str">
        <f>IF(ISBLANK('Données à saisir'!$B6),"",('Données à saisir'!$B6))</f>
        <v/>
      </c>
      <c r="AC7" s="1" t="s">
        <v>45</v>
      </c>
      <c r="AE7" s="3" t="str">
        <f>IF(ISBLANK('Données à saisir'!$B6),"",('Données à saisir'!$B6))</f>
        <v/>
      </c>
      <c r="AL7" s="1" t="s">
        <v>45</v>
      </c>
      <c r="AN7" s="3" t="str">
        <f>IF(ISBLANK('Données à saisir'!$B6),"",('Données à saisir'!$B6))</f>
        <v/>
      </c>
      <c r="AW7" s="1" t="s">
        <v>45</v>
      </c>
      <c r="AY7" s="3" t="str">
        <f>IF(ISBLANK('Données à saisir'!$B6),"",('Données à saisir'!$B6))</f>
        <v/>
      </c>
      <c r="BF7" s="1" t="s">
        <v>45</v>
      </c>
      <c r="BH7" s="3" t="str">
        <f>IF(ISBLANK('Données à saisir'!$B6),"",('Données à saisir'!$B6))</f>
        <v/>
      </c>
      <c r="BO7" s="1" t="s">
        <v>45</v>
      </c>
      <c r="BQ7" s="3" t="str">
        <f>IF(ISBLANK('Données à saisir'!$B6),"",('Données à saisir'!$B6))</f>
        <v/>
      </c>
      <c r="BY7" s="1" t="s">
        <v>45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239</v>
      </c>
      <c r="T8" s="1"/>
      <c r="AG8" s="321" t="s">
        <v>19</v>
      </c>
      <c r="AH8" s="323" t="s">
        <v>20</v>
      </c>
      <c r="AI8" s="311" t="s">
        <v>21</v>
      </c>
    </row>
    <row r="9" spans="2:84" ht="15.1" customHeight="1" thickTop="1" x14ac:dyDescent="0.25">
      <c r="K9" s="315" t="s">
        <v>109</v>
      </c>
      <c r="L9" s="316"/>
      <c r="M9" s="316"/>
      <c r="N9" s="316"/>
      <c r="O9" s="316"/>
      <c r="P9" s="316"/>
      <c r="Q9" s="313" t="s">
        <v>49</v>
      </c>
      <c r="U9" s="1" t="s">
        <v>114</v>
      </c>
      <c r="X9" t="str">
        <f>C33</f>
        <v>SASU (IS)</v>
      </c>
      <c r="AC9" s="50"/>
      <c r="AG9" s="322"/>
      <c r="AH9" s="324"/>
      <c r="AI9" s="312"/>
      <c r="BA9" s="334" t="s">
        <v>19</v>
      </c>
      <c r="BB9" s="323" t="s">
        <v>20</v>
      </c>
      <c r="BC9" s="336" t="s">
        <v>21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235</v>
      </c>
      <c r="X10" t="str">
        <f>IF(ISBLANK('Données à saisir'!C136),"",'Données à saisir'!C136)</f>
        <v>Oui</v>
      </c>
      <c r="AC10" s="51" t="s">
        <v>98</v>
      </c>
      <c r="AD10" s="52"/>
      <c r="AE10" s="52"/>
      <c r="AF10" s="52"/>
      <c r="AG10" s="60">
        <f>SUM(AG11:AG12)</f>
        <v>66360</v>
      </c>
      <c r="AH10" s="60">
        <f t="shared" ref="AH10:AI10" si="0">SUM(AH11:AH12)</f>
        <v>76314</v>
      </c>
      <c r="AI10" s="226">
        <f t="shared" si="0"/>
        <v>87761.1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120</v>
      </c>
      <c r="X11" t="str">
        <f>IF(X9="sas (is)","Assimilé-salarié",IF(X9="sasu (is)","Assimilé-salarié","Travailleur non salarié"))</f>
        <v>Assimilé-salarié</v>
      </c>
      <c r="AC11" s="44" t="s">
        <v>96</v>
      </c>
      <c r="AG11" s="62">
        <f>'Données à saisir'!D115</f>
        <v>66360</v>
      </c>
      <c r="AH11" s="62">
        <f>AG11+AG11*'Données à saisir'!D117</f>
        <v>76314</v>
      </c>
      <c r="AI11" s="54">
        <f>AH11+AH11*'Données à saisir'!D118</f>
        <v>87761.1</v>
      </c>
      <c r="AO11" s="321" t="s">
        <v>19</v>
      </c>
      <c r="AP11" s="323" t="s">
        <v>139</v>
      </c>
      <c r="AQ11" s="323" t="s">
        <v>20</v>
      </c>
      <c r="AR11" s="323" t="s">
        <v>139</v>
      </c>
      <c r="AS11" s="323" t="s">
        <v>21</v>
      </c>
      <c r="AT11" s="311" t="s">
        <v>139</v>
      </c>
      <c r="AW11" s="51" t="s">
        <v>166</v>
      </c>
      <c r="AX11" s="52"/>
      <c r="AY11" s="52"/>
      <c r="AZ11" s="52"/>
      <c r="BA11" s="60">
        <f>AG10</f>
        <v>66360</v>
      </c>
      <c r="BB11" s="60">
        <f>AH10</f>
        <v>76314</v>
      </c>
      <c r="BC11" s="226">
        <f>AI10</f>
        <v>87761.1</v>
      </c>
      <c r="BO11" s="214" t="s">
        <v>211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48</v>
      </c>
      <c r="Q12" s="41">
        <f>SUM(Q13:Q22)</f>
        <v>142560</v>
      </c>
      <c r="AC12" s="44" t="s">
        <v>97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55</v>
      </c>
      <c r="BA12" s="104">
        <f>AO15</f>
        <v>5308.8</v>
      </c>
      <c r="BB12" s="104">
        <f>AQ15</f>
        <v>6105.12</v>
      </c>
      <c r="BC12" s="120">
        <f>AS15</f>
        <v>7020.8880000000008</v>
      </c>
      <c r="BJ12" s="334" t="s">
        <v>19</v>
      </c>
      <c r="BK12" s="323" t="s">
        <v>20</v>
      </c>
      <c r="BL12" s="336" t="s">
        <v>21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400</v>
      </c>
      <c r="X13" s="85" t="s">
        <v>19</v>
      </c>
      <c r="Y13" s="87" t="s">
        <v>20</v>
      </c>
      <c r="Z13" s="83" t="s">
        <v>21</v>
      </c>
      <c r="AC13" s="37" t="s">
        <v>99</v>
      </c>
      <c r="AG13" s="57">
        <f>AG14</f>
        <v>5308.8</v>
      </c>
      <c r="AH13" s="57">
        <f>AH14</f>
        <v>6105.12</v>
      </c>
      <c r="AI13" s="53">
        <f>AI14</f>
        <v>7020.8880000000008</v>
      </c>
      <c r="AL13" s="107" t="s">
        <v>126</v>
      </c>
      <c r="AM13" s="34"/>
      <c r="AN13" s="34"/>
      <c r="AO13" s="119">
        <f>AG10</f>
        <v>66360</v>
      </c>
      <c r="AP13" s="139">
        <v>1</v>
      </c>
      <c r="AQ13" s="119">
        <f>AH10</f>
        <v>76314</v>
      </c>
      <c r="AR13" s="140">
        <v>1</v>
      </c>
      <c r="AS13" s="119">
        <f>AI10</f>
        <v>87761.1</v>
      </c>
      <c r="AT13" s="141">
        <v>1</v>
      </c>
      <c r="AW13" s="123" t="s">
        <v>150</v>
      </c>
      <c r="BA13" s="104">
        <f>BA12</f>
        <v>5308.8</v>
      </c>
      <c r="BB13" s="104">
        <f t="shared" ref="BB13:BC13" si="1">BB12</f>
        <v>6105.12</v>
      </c>
      <c r="BC13" s="120">
        <f t="shared" si="1"/>
        <v>7020.8880000000008</v>
      </c>
      <c r="BF13" s="50"/>
      <c r="BJ13" s="335"/>
      <c r="BK13" s="324"/>
      <c r="BL13" s="337"/>
      <c r="BR13" s="334" t="s">
        <v>182</v>
      </c>
      <c r="BS13" s="323" t="s">
        <v>183</v>
      </c>
      <c r="BT13" s="323" t="s">
        <v>184</v>
      </c>
      <c r="BU13" s="323" t="s">
        <v>189</v>
      </c>
      <c r="BV13" s="336" t="s">
        <v>191</v>
      </c>
      <c r="BY13" s="334" t="s">
        <v>192</v>
      </c>
      <c r="BZ13" s="323" t="s">
        <v>193</v>
      </c>
      <c r="CA13" s="323" t="s">
        <v>194</v>
      </c>
      <c r="CB13" s="323" t="s">
        <v>195</v>
      </c>
      <c r="CC13" s="323" t="s">
        <v>196</v>
      </c>
      <c r="CD13" s="323" t="s">
        <v>197</v>
      </c>
      <c r="CE13" s="331" t="s">
        <v>198</v>
      </c>
      <c r="CF13" s="339" t="s">
        <v>26</v>
      </c>
    </row>
    <row r="14" spans="2:84" ht="15.1" customHeight="1" x14ac:dyDescent="0.25">
      <c r="B14" s="299" t="s">
        <v>218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280</v>
      </c>
      <c r="AG14" s="62">
        <f>'Données à saisir'!$D$123*'Plan financier à imprimer'!AG11</f>
        <v>5308.8</v>
      </c>
      <c r="AH14" s="62">
        <f>'Données à saisir'!$D$123*'Plan financier à imprimer'!AH11</f>
        <v>6105.12</v>
      </c>
      <c r="AI14" s="54">
        <f>'Données à saisir'!$D$123*'Plan financier à imprimer'!AI11</f>
        <v>7020.8880000000008</v>
      </c>
      <c r="AL14" s="38" t="s">
        <v>127</v>
      </c>
      <c r="AO14" s="104">
        <f>AG10</f>
        <v>66360</v>
      </c>
      <c r="AP14" s="142">
        <v>1</v>
      </c>
      <c r="AQ14" s="104">
        <f>AH10</f>
        <v>76314</v>
      </c>
      <c r="AR14" s="143">
        <v>1</v>
      </c>
      <c r="AS14" s="104">
        <f>AI10</f>
        <v>87761.1</v>
      </c>
      <c r="AT14" s="144">
        <v>1</v>
      </c>
      <c r="AW14" s="123" t="s">
        <v>151</v>
      </c>
      <c r="BA14" s="57">
        <f>BA11-BA13</f>
        <v>61051.199999999997</v>
      </c>
      <c r="BB14" s="57">
        <f t="shared" ref="BB14:BC14" si="2">BB11-BB13</f>
        <v>70208.88</v>
      </c>
      <c r="BC14" s="53">
        <f t="shared" si="2"/>
        <v>80740.212</v>
      </c>
      <c r="BF14" s="186" t="s">
        <v>173</v>
      </c>
      <c r="BG14" s="52"/>
      <c r="BH14" s="52"/>
      <c r="BI14" s="52"/>
      <c r="BJ14" s="187">
        <f>Q12+Q23</f>
        <v>179060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Formation, examen</v>
      </c>
      <c r="Q15" s="42">
        <f>IF(ISBLANK('Données à saisir'!B19),"",'Données à saisir'!B19)</f>
        <v>1000</v>
      </c>
      <c r="T15" s="51" t="s">
        <v>118</v>
      </c>
      <c r="U15" s="52"/>
      <c r="V15" s="52"/>
      <c r="W15" s="52"/>
      <c r="X15" s="60">
        <f>'Données à saisir'!B134</f>
        <v>20000</v>
      </c>
      <c r="Y15" s="60">
        <f>'Données à saisir'!C134</f>
        <v>28000</v>
      </c>
      <c r="Z15" s="61">
        <f>'Données à saisir'!D134</f>
        <v>35000</v>
      </c>
      <c r="AC15" s="67"/>
      <c r="AG15" s="62"/>
      <c r="AH15" s="62"/>
      <c r="AI15" s="69"/>
      <c r="AL15" s="70" t="s">
        <v>55</v>
      </c>
      <c r="AO15" s="104">
        <f>AG14</f>
        <v>5308.8</v>
      </c>
      <c r="AP15" s="145">
        <f>AO15/$AO$14</f>
        <v>0.08</v>
      </c>
      <c r="AQ15" s="104">
        <f>AH14</f>
        <v>6105.12</v>
      </c>
      <c r="AR15" s="145">
        <f>AQ15/$AQ$14</f>
        <v>0.08</v>
      </c>
      <c r="AS15" s="104">
        <f>AI14</f>
        <v>7020.8880000000008</v>
      </c>
      <c r="AT15" s="146">
        <f>AS15/$AS$14</f>
        <v>0.08</v>
      </c>
      <c r="AW15" s="63" t="s">
        <v>167</v>
      </c>
      <c r="AX15" s="64"/>
      <c r="AY15" s="64"/>
      <c r="AZ15" s="64"/>
      <c r="BA15" s="154">
        <f>IF(ISERROR(BA14/BA11),0,BA14/BA11)</f>
        <v>0.91999999999999993</v>
      </c>
      <c r="BB15" s="154">
        <f t="shared" ref="BB15:BC15" si="3">IF(ISERROR(BB14/BB11),0,BB14/BB11)</f>
        <v>0.92</v>
      </c>
      <c r="BC15" s="158">
        <f t="shared" si="3"/>
        <v>0.91999999999999993</v>
      </c>
      <c r="BF15" s="123" t="s">
        <v>234</v>
      </c>
      <c r="BJ15" s="104">
        <f>Q30</f>
        <v>350</v>
      </c>
      <c r="BK15" s="104"/>
      <c r="BL15" s="120"/>
      <c r="BO15" s="192" t="s">
        <v>174</v>
      </c>
      <c r="BP15" s="52"/>
      <c r="BQ15" s="52"/>
      <c r="BR15" s="187">
        <f>BJ19</f>
        <v>65000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Carte professionnelle</v>
      </c>
      <c r="Q16" s="42">
        <f>IF(ISBLANK('Données à saisir'!B20),"",'Données à saisir'!B20)</f>
        <v>60</v>
      </c>
      <c r="T16" s="44"/>
      <c r="U16" s="3" t="s">
        <v>115</v>
      </c>
      <c r="X16" s="62"/>
      <c r="Y16" s="102">
        <f>IF(ISERROR((Y15-X15)/X15),"",(Y15-X15)/X15)</f>
        <v>0.4</v>
      </c>
      <c r="Z16" s="103">
        <f>IF(ISERROR((Z15-Y15)/Y15),"",(Z15-Y15)/Y15)</f>
        <v>0.25</v>
      </c>
      <c r="AC16" s="63" t="s">
        <v>100</v>
      </c>
      <c r="AD16" s="64"/>
      <c r="AE16" s="64"/>
      <c r="AF16" s="64"/>
      <c r="AG16" s="65">
        <f>AG10-AG13</f>
        <v>61051.199999999997</v>
      </c>
      <c r="AH16" s="65">
        <f>AH10-AH13</f>
        <v>70208.88</v>
      </c>
      <c r="AI16" s="66">
        <f>AI10-AI13</f>
        <v>80740.212</v>
      </c>
      <c r="AL16" s="63" t="s">
        <v>129</v>
      </c>
      <c r="AM16" s="64"/>
      <c r="AN16" s="64"/>
      <c r="AO16" s="65">
        <f>AO14-AO15</f>
        <v>61051.199999999997</v>
      </c>
      <c r="AP16" s="147">
        <f t="shared" ref="AP16:AP28" si="5">AO16/$AO$14</f>
        <v>0.91999999999999993</v>
      </c>
      <c r="AQ16" s="65">
        <f t="shared" ref="AQ16:AS16" si="6">AQ14-AQ15</f>
        <v>70208.88</v>
      </c>
      <c r="AR16" s="148">
        <f t="shared" ref="AR16:AR28" si="7">AQ16/$AQ$14</f>
        <v>0.92</v>
      </c>
      <c r="AS16" s="65">
        <f t="shared" si="6"/>
        <v>80740.212</v>
      </c>
      <c r="AT16" s="150">
        <f t="shared" ref="AT16:AT28" si="8">AS16/$AS$14</f>
        <v>0.91999999999999993</v>
      </c>
      <c r="AW16" s="123" t="s">
        <v>152</v>
      </c>
      <c r="BA16" s="104">
        <f>SUM(AO17,AO19,AO20,AO22,AO24)</f>
        <v>43441.904881627997</v>
      </c>
      <c r="BB16" s="104">
        <f>SUM(AQ17,AQ19,AQ20,AQ22,AQ24)</f>
        <v>65951.904881627997</v>
      </c>
      <c r="BC16" s="159">
        <f>SUM(AS17,AS19,AS20,AS22,AS24)</f>
        <v>78461.904881627997</v>
      </c>
      <c r="BF16" s="123" t="s">
        <v>171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175</v>
      </c>
      <c r="BR16" s="104">
        <f>BJ20</f>
        <v>119410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119410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 franchise</v>
      </c>
      <c r="Q17" s="42" t="str">
        <f>IF(ISBLANK('Données à saisir'!B21),"",'Données à saisir'!B21)</f>
        <v/>
      </c>
      <c r="T17" s="37" t="s">
        <v>119</v>
      </c>
      <c r="X17" s="57">
        <f>AG40</f>
        <v>6600</v>
      </c>
      <c r="Y17" s="57">
        <f>AH40</f>
        <v>19600</v>
      </c>
      <c r="Z17" s="53">
        <f>AI40</f>
        <v>24500</v>
      </c>
      <c r="AC17" s="37" t="s">
        <v>101</v>
      </c>
      <c r="AG17" s="57">
        <f>SUM(AG18:AG33)</f>
        <v>7940</v>
      </c>
      <c r="AH17" s="57">
        <f>SUM(AH18:AH33)</f>
        <v>8750</v>
      </c>
      <c r="AI17" s="68">
        <f>SUM(AI18:AI33)</f>
        <v>9210</v>
      </c>
      <c r="AL17" s="70" t="s">
        <v>56</v>
      </c>
      <c r="AO17" s="104">
        <f>AG17</f>
        <v>7940</v>
      </c>
      <c r="AP17" s="145">
        <f t="shared" si="5"/>
        <v>0.11965039180229053</v>
      </c>
      <c r="AQ17" s="104">
        <f>AH17</f>
        <v>8750</v>
      </c>
      <c r="AR17" s="149">
        <f t="shared" si="7"/>
        <v>0.11465786094294625</v>
      </c>
      <c r="AS17" s="104">
        <f>AI17</f>
        <v>9210</v>
      </c>
      <c r="AT17" s="146">
        <f t="shared" si="8"/>
        <v>0.10494398999100968</v>
      </c>
      <c r="AW17" s="63" t="s">
        <v>168</v>
      </c>
      <c r="AX17" s="64"/>
      <c r="AY17" s="64"/>
      <c r="AZ17" s="64"/>
      <c r="BA17" s="65">
        <f>BA12+BA16</f>
        <v>48750.704881628</v>
      </c>
      <c r="BB17" s="65">
        <f t="shared" ref="BB17:BC17" si="9">BB12+BB16</f>
        <v>72057.024881627993</v>
      </c>
      <c r="BC17" s="66">
        <f t="shared" si="9"/>
        <v>85482.792881628004</v>
      </c>
      <c r="BF17" s="123" t="s">
        <v>172</v>
      </c>
      <c r="BJ17" s="104">
        <f>AO45</f>
        <v>17058.571428571428</v>
      </c>
      <c r="BK17" s="104">
        <f>AQ45</f>
        <v>17058.571428571428</v>
      </c>
      <c r="BL17" s="120">
        <f>AS45</f>
        <v>17058.571428571428</v>
      </c>
      <c r="BO17" s="123" t="s">
        <v>176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Coût licence</v>
      </c>
      <c r="Q18" s="42">
        <f>IF(ISBLANK('Données à saisir'!B22),"",'Données à saisir'!B22)</f>
        <v>140000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1500</v>
      </c>
      <c r="AH18" s="62">
        <f>IF(ISBLANK('Données à saisir'!C77),0,'Données à saisir'!C77)</f>
        <v>1550</v>
      </c>
      <c r="AI18" s="54">
        <f>IF(ISBLANK('Données à saisir'!D77),0,'Données à saisir'!D77)</f>
        <v>1600</v>
      </c>
      <c r="AL18" s="63" t="s">
        <v>102</v>
      </c>
      <c r="AM18" s="64"/>
      <c r="AN18" s="64"/>
      <c r="AO18" s="65">
        <f>AO16-AO17</f>
        <v>53111.199999999997</v>
      </c>
      <c r="AP18" s="147">
        <f t="shared" si="5"/>
        <v>0.80034960819770939</v>
      </c>
      <c r="AQ18" s="65">
        <f t="shared" ref="AQ18:AS18" si="10">AQ16-AQ17</f>
        <v>61458.880000000005</v>
      </c>
      <c r="AR18" s="148">
        <f t="shared" si="7"/>
        <v>0.80534213905705376</v>
      </c>
      <c r="AS18" s="65">
        <f t="shared" si="10"/>
        <v>71530.212</v>
      </c>
      <c r="AT18" s="150">
        <f t="shared" si="8"/>
        <v>0.81505601000899031</v>
      </c>
      <c r="AW18" s="123" t="s">
        <v>153</v>
      </c>
      <c r="BA18" s="104">
        <f>AG44</f>
        <v>17609.295118371996</v>
      </c>
      <c r="BB18" s="104">
        <f>AH44</f>
        <v>4256.9751183720045</v>
      </c>
      <c r="BC18" s="159">
        <f>AI44</f>
        <v>2278.3071183719994</v>
      </c>
      <c r="BF18" s="63" t="s">
        <v>170</v>
      </c>
      <c r="BG18" s="64"/>
      <c r="BH18" s="64"/>
      <c r="BI18" s="64"/>
      <c r="BJ18" s="188">
        <f>SUM(BJ14:BJ17)</f>
        <v>196468.57142857142</v>
      </c>
      <c r="BK18" s="189">
        <f>SUM(BK14:BK17)</f>
        <v>17058.571428571428</v>
      </c>
      <c r="BL18" s="190">
        <f>SUM(BL14:BL17)</f>
        <v>17058.571428571428</v>
      </c>
      <c r="BO18" s="123" t="s">
        <v>177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116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550</v>
      </c>
      <c r="AH19" s="62">
        <f>IF(ISBLANK('Données à saisir'!C78),0,'Données à saisir'!C78)</f>
        <v>560</v>
      </c>
      <c r="AI19" s="54">
        <f>IF(ISBLANK('Données à saisir'!D78),0,'Données à saisir'!D78)</f>
        <v>570</v>
      </c>
      <c r="AL19" s="38" t="s">
        <v>57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600</v>
      </c>
      <c r="AR19" s="149">
        <f t="shared" si="7"/>
        <v>7.8622533218020291E-3</v>
      </c>
      <c r="AS19" s="104">
        <f>AI36</f>
        <v>650</v>
      </c>
      <c r="AT19" s="146">
        <f t="shared" si="8"/>
        <v>7.4064705205381422E-3</v>
      </c>
      <c r="AW19" s="63" t="s">
        <v>169</v>
      </c>
      <c r="AX19" s="64"/>
      <c r="AY19" s="64"/>
      <c r="AZ19" s="64"/>
      <c r="BA19" s="65">
        <f>IF(ISERROR(BA16/BA15),0,BA16/BA15)</f>
        <v>47219.461827856525</v>
      </c>
      <c r="BB19" s="65">
        <f t="shared" ref="BB19:BC19" si="11">IF(ISERROR(BB16/BB15),0,BB16/BB15)</f>
        <v>71686.853132204342</v>
      </c>
      <c r="BC19" s="66">
        <f t="shared" si="11"/>
        <v>85284.679219160869</v>
      </c>
      <c r="BF19" s="123" t="s">
        <v>174</v>
      </c>
      <c r="BJ19" s="104">
        <f>Q37</f>
        <v>65000</v>
      </c>
      <c r="BK19" s="104"/>
      <c r="BL19" s="159"/>
      <c r="BO19" s="192" t="s">
        <v>185</v>
      </c>
      <c r="BP19" s="34"/>
      <c r="BQ19" s="34"/>
      <c r="BR19" s="119">
        <f>'Données à saisir'!D103</f>
        <v>5060</v>
      </c>
      <c r="BS19" s="119">
        <f>'Données à saisir'!D104</f>
        <v>4840</v>
      </c>
      <c r="BT19" s="119">
        <f>'Données à saisir'!D105</f>
        <v>5500</v>
      </c>
      <c r="BU19" s="119">
        <f>'Données à saisir'!D106</f>
        <v>5060</v>
      </c>
      <c r="BV19" s="209">
        <f>'Données à saisir'!D107</f>
        <v>5500</v>
      </c>
      <c r="BY19" s="210">
        <f>'Données à saisir'!D108</f>
        <v>6000</v>
      </c>
      <c r="BZ19" s="119">
        <f>'Données à saisir'!D109</f>
        <v>6000</v>
      </c>
      <c r="CA19" s="119">
        <f>'Données à saisir'!D110</f>
        <v>2400</v>
      </c>
      <c r="CB19" s="119">
        <f>'Données à saisir'!D111</f>
        <v>6500</v>
      </c>
      <c r="CC19" s="119">
        <f>'Données à saisir'!D112</f>
        <v>6500</v>
      </c>
      <c r="CD19" s="119">
        <f>'Données à saisir'!D113</f>
        <v>6500</v>
      </c>
      <c r="CE19" s="211">
        <f>'Données à saisir'!D114</f>
        <v>6500</v>
      </c>
      <c r="CF19" s="213">
        <f>SUM(BR19:CE19)</f>
        <v>66360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115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128</v>
      </c>
      <c r="AM20" s="1"/>
      <c r="AN20" s="1"/>
      <c r="AO20" s="104">
        <f>SUM(AG37:AG40)</f>
        <v>26600</v>
      </c>
      <c r="AP20" s="145">
        <f t="shared" si="5"/>
        <v>0.40084388185654007</v>
      </c>
      <c r="AQ20" s="104">
        <f>SUM(AH37:AH40)</f>
        <v>47600</v>
      </c>
      <c r="AR20" s="149">
        <f t="shared" si="7"/>
        <v>0.62373876352962754</v>
      </c>
      <c r="AS20" s="104">
        <f>SUM(AI37:AI40)</f>
        <v>59500</v>
      </c>
      <c r="AT20" s="146">
        <f t="shared" si="8"/>
        <v>0.67797691688002992</v>
      </c>
      <c r="AW20" s="123" t="s">
        <v>154</v>
      </c>
      <c r="BA20" s="104">
        <f>BA11-BA19</f>
        <v>19140.538172143475</v>
      </c>
      <c r="BB20" s="104">
        <f t="shared" ref="BB20:BC20" si="12">BB11-BB19</f>
        <v>4627.1468677956582</v>
      </c>
      <c r="BC20" s="120">
        <f t="shared" si="12"/>
        <v>2476.4207808391366</v>
      </c>
      <c r="BF20" s="123" t="s">
        <v>175</v>
      </c>
      <c r="BJ20" s="104">
        <f>Q40</f>
        <v>119410</v>
      </c>
      <c r="BK20" s="104"/>
      <c r="BL20" s="159"/>
      <c r="BO20" s="123" t="s">
        <v>186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117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Stationnement</v>
      </c>
      <c r="AG21" s="62">
        <f>IF(ISBLANK('Données à saisir'!B80),0,'Données à saisir'!B80)</f>
        <v>600</v>
      </c>
      <c r="AH21" s="62">
        <f>IF(ISBLANK('Données à saisir'!C80),0,'Données à saisir'!C80)</f>
        <v>750</v>
      </c>
      <c r="AI21" s="54">
        <f>IF(ISBLANK('Données à saisir'!D80),0,'Données à saisir'!D80)</f>
        <v>900</v>
      </c>
      <c r="AL21" s="63" t="s">
        <v>103</v>
      </c>
      <c r="AM21" s="64"/>
      <c r="AN21" s="64"/>
      <c r="AO21" s="65">
        <f>AO18-AO19-AO20</f>
        <v>26511.199999999997</v>
      </c>
      <c r="AP21" s="147">
        <f t="shared" si="5"/>
        <v>0.39950572634116932</v>
      </c>
      <c r="AQ21" s="65">
        <f t="shared" ref="AQ21:AS21" si="14">AQ18-AQ19-AQ20</f>
        <v>13258.880000000005</v>
      </c>
      <c r="AR21" s="148">
        <f t="shared" si="7"/>
        <v>0.17374112220562418</v>
      </c>
      <c r="AS21" s="65">
        <f t="shared" si="14"/>
        <v>11380.212</v>
      </c>
      <c r="AT21" s="150">
        <f t="shared" si="8"/>
        <v>0.12967262260842216</v>
      </c>
      <c r="AW21" s="208" t="s">
        <v>155</v>
      </c>
      <c r="AX21" s="36"/>
      <c r="AY21" s="36"/>
      <c r="AZ21" s="36"/>
      <c r="BA21" s="156">
        <f>BA19/250</f>
        <v>188.87784731142611</v>
      </c>
      <c r="BB21" s="156">
        <f t="shared" ref="BB21:BC21" si="15">BB19/250</f>
        <v>286.74741252881739</v>
      </c>
      <c r="BC21" s="157">
        <f t="shared" si="15"/>
        <v>341.13871687664346</v>
      </c>
      <c r="BF21" s="123" t="s">
        <v>176</v>
      </c>
      <c r="BJ21" s="104">
        <f>Q44+Q45</f>
        <v>0</v>
      </c>
      <c r="BK21" s="104"/>
      <c r="BL21" s="159"/>
      <c r="BO21" s="63" t="s">
        <v>187</v>
      </c>
      <c r="BP21" s="64"/>
      <c r="BQ21" s="64"/>
      <c r="BR21" s="65">
        <f>SUM(BR19:BR20)</f>
        <v>5060</v>
      </c>
      <c r="BS21" s="65">
        <f t="shared" ref="BS21:BV21" si="16">SUM(BS19:BS20)</f>
        <v>4840</v>
      </c>
      <c r="BT21" s="65">
        <f t="shared" si="16"/>
        <v>5500</v>
      </c>
      <c r="BU21" s="65">
        <f t="shared" si="16"/>
        <v>5060</v>
      </c>
      <c r="BV21" s="66">
        <f t="shared" si="16"/>
        <v>5500</v>
      </c>
      <c r="BY21" s="197">
        <f t="shared" ref="BY21:CE21" si="17">SUM(BY19:BY20)</f>
        <v>6000</v>
      </c>
      <c r="BZ21" s="65">
        <f t="shared" si="17"/>
        <v>6000</v>
      </c>
      <c r="CA21" s="65">
        <f t="shared" si="17"/>
        <v>2400</v>
      </c>
      <c r="CB21" s="65">
        <f t="shared" si="17"/>
        <v>6500</v>
      </c>
      <c r="CC21" s="65">
        <f t="shared" si="17"/>
        <v>6500</v>
      </c>
      <c r="CD21" s="65">
        <f t="shared" si="17"/>
        <v>6500</v>
      </c>
      <c r="CE21" s="131">
        <f t="shared" si="17"/>
        <v>6500</v>
      </c>
      <c r="CF21" s="200">
        <f t="shared" si="13"/>
        <v>66360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130</v>
      </c>
      <c r="AO22" s="104">
        <f>AG43</f>
        <v>5571.4285714285716</v>
      </c>
      <c r="AP22" s="145">
        <f t="shared" si="5"/>
        <v>8.3957633686385952E-2</v>
      </c>
      <c r="AQ22" s="104">
        <f>AH43</f>
        <v>5571.4285714285716</v>
      </c>
      <c r="AR22" s="149">
        <f t="shared" si="7"/>
        <v>7.3006637988161691E-2</v>
      </c>
      <c r="AS22" s="104">
        <f>AI43</f>
        <v>5571.4285714285716</v>
      </c>
      <c r="AT22" s="146">
        <f t="shared" si="8"/>
        <v>6.3484033033184076E-2</v>
      </c>
      <c r="BA22" s="90"/>
      <c r="BF22" s="123" t="s">
        <v>177</v>
      </c>
      <c r="BJ22" s="104" t="str">
        <f>Q46</f>
        <v/>
      </c>
      <c r="BK22" s="104"/>
      <c r="BL22" s="159"/>
      <c r="BO22" s="123" t="s">
        <v>48</v>
      </c>
      <c r="BR22" s="104">
        <f>Q12</f>
        <v>142560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142560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46</v>
      </c>
      <c r="Q23" s="41">
        <f>SUM(Q24:Q28)</f>
        <v>36500</v>
      </c>
      <c r="AC23" s="44" t="str">
        <f>'Données à saisir'!A82</f>
        <v>Coût fluides, énergie hors carburant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131</v>
      </c>
      <c r="AM23" s="64"/>
      <c r="AN23" s="64"/>
      <c r="AO23" s="65">
        <f>AO21-AO22</f>
        <v>20939.771428571425</v>
      </c>
      <c r="AP23" s="147">
        <f t="shared" si="5"/>
        <v>0.3155480926547834</v>
      </c>
      <c r="AQ23" s="65">
        <f t="shared" ref="AQ23:AS23" si="18">AQ21-AQ22</f>
        <v>7687.4514285714331</v>
      </c>
      <c r="AR23" s="148">
        <f t="shared" si="7"/>
        <v>0.10073448421746249</v>
      </c>
      <c r="AS23" s="65">
        <f t="shared" si="18"/>
        <v>5808.783428571428</v>
      </c>
      <c r="AT23" s="150">
        <f t="shared" si="8"/>
        <v>6.6188589575238085E-2</v>
      </c>
      <c r="AW23" s="4"/>
      <c r="BA23" s="99"/>
      <c r="BB23" s="99"/>
      <c r="BC23" s="99"/>
      <c r="BF23" s="123" t="s">
        <v>178</v>
      </c>
      <c r="BJ23" s="104">
        <f>AO44</f>
        <v>20539.329422044768</v>
      </c>
      <c r="BK23" s="104">
        <f>AQ44</f>
        <v>9189.8574220447754</v>
      </c>
      <c r="BL23" s="159">
        <f>AS44</f>
        <v>7507.9896220447708</v>
      </c>
      <c r="BO23" s="123" t="s">
        <v>46</v>
      </c>
      <c r="BR23" s="104">
        <f>Q23</f>
        <v>36500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36500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Plaque, lumière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600</v>
      </c>
      <c r="AH24" s="62">
        <f>IF(ISBLANK('Données à saisir'!C83),0,'Données à saisir'!C83)</f>
        <v>650</v>
      </c>
      <c r="AI24" s="54">
        <f>IF(ISBLANK('Données à saisir'!D83),0,'Données à saisir'!D83)</f>
        <v>700</v>
      </c>
      <c r="AL24" s="38" t="s">
        <v>14</v>
      </c>
      <c r="AM24" s="1"/>
      <c r="AN24" s="1"/>
      <c r="AO24" s="104">
        <f>AG42</f>
        <v>3330.4763101994286</v>
      </c>
      <c r="AP24" s="145">
        <f t="shared" si="5"/>
        <v>5.0188009496676136E-2</v>
      </c>
      <c r="AQ24" s="104">
        <f>AH42</f>
        <v>3430.4763101994286</v>
      </c>
      <c r="AR24" s="149">
        <f t="shared" si="7"/>
        <v>4.4952122942047708E-2</v>
      </c>
      <c r="AS24" s="104">
        <f>AI42</f>
        <v>3530.4763101994286</v>
      </c>
      <c r="AT24" s="146">
        <f t="shared" si="8"/>
        <v>4.0228259561462067E-2</v>
      </c>
      <c r="BF24" s="63" t="s">
        <v>179</v>
      </c>
      <c r="BG24" s="64"/>
      <c r="BH24" s="64"/>
      <c r="BI24" s="64"/>
      <c r="BJ24" s="65">
        <f>SUM(BJ19:BJ23)</f>
        <v>204949.32942204477</v>
      </c>
      <c r="BK24" s="65">
        <f>SUM(BK19:BK23)</f>
        <v>9189.8574220447754</v>
      </c>
      <c r="BL24" s="66">
        <f>SUM(BL19:BL23)</f>
        <v>7507.9896220447708</v>
      </c>
      <c r="BO24" s="63" t="s">
        <v>199</v>
      </c>
      <c r="BP24" s="64"/>
      <c r="BQ24" s="64"/>
      <c r="BR24" s="65">
        <f>SUM(BR22:BR23)</f>
        <v>179060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179060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Autre investissement</v>
      </c>
      <c r="Q25" s="42" t="str">
        <f>IF(ISBLANK('Données à saisir'!B28),"",'Données à saisir'!B28)</f>
        <v/>
      </c>
      <c r="T25" s="302" t="s">
        <v>121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500</v>
      </c>
      <c r="AH25" s="62">
        <f>IF(ISBLANK('Données à saisir'!C84),0,'Données à saisir'!C84)</f>
        <v>600</v>
      </c>
      <c r="AI25" s="54">
        <f>IF(ISBLANK('Données à saisir'!D84),0,'Données à saisir'!D84)</f>
        <v>700</v>
      </c>
      <c r="AL25" s="38" t="s">
        <v>132</v>
      </c>
      <c r="AM25" s="1"/>
      <c r="AN25" s="1"/>
      <c r="AO25" s="104">
        <f>AO24*-1</f>
        <v>-3330.4763101994286</v>
      </c>
      <c r="AP25" s="145">
        <f t="shared" si="5"/>
        <v>-5.0188009496676136E-2</v>
      </c>
      <c r="AQ25" s="104">
        <f t="shared" ref="AQ25:AS25" si="19">AQ24*-1</f>
        <v>-3430.4763101994286</v>
      </c>
      <c r="AR25" s="149">
        <f t="shared" si="7"/>
        <v>-4.4952122942047708E-2</v>
      </c>
      <c r="AS25" s="104">
        <f t="shared" si="19"/>
        <v>-3530.4763101994286</v>
      </c>
      <c r="AT25" s="146">
        <f t="shared" si="8"/>
        <v>-4.0228259561462067E-2</v>
      </c>
      <c r="BA25" s="90"/>
      <c r="BF25" s="123" t="s">
        <v>180</v>
      </c>
      <c r="BJ25" s="104">
        <f>BJ24-BJ18</f>
        <v>8480.7579934733512</v>
      </c>
      <c r="BK25" s="104">
        <f>BK24-BK18</f>
        <v>-7868.7140065266522</v>
      </c>
      <c r="BL25" s="120">
        <f>BL24-BL18</f>
        <v>-9550.5818065266576</v>
      </c>
      <c r="BO25" s="123" t="s">
        <v>230</v>
      </c>
      <c r="BR25" s="104">
        <f>Q30</f>
        <v>350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 xml:space="preserve">Autres travaux </v>
      </c>
      <c r="Q26" s="42" t="str">
        <f>IF(ISBLANK('Données à saisir'!B29),"",'Données à saisir'!B29)</f>
        <v/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véhicule mécanique</v>
      </c>
      <c r="AG26" s="62">
        <f>IF(ISBLANK('Données à saisir'!B85),0,'Données à saisir'!B85)</f>
        <v>0</v>
      </c>
      <c r="AH26" s="62">
        <f>IF(ISBLANK('Données à saisir'!C85),0,'Données à saisir'!C85)</f>
        <v>350</v>
      </c>
      <c r="AI26" s="54">
        <f>IF(ISBLANK('Données à saisir'!D85),0,'Données à saisir'!D85)</f>
        <v>350</v>
      </c>
      <c r="AL26" s="63" t="s">
        <v>134</v>
      </c>
      <c r="AM26" s="64"/>
      <c r="AN26" s="64"/>
      <c r="AO26" s="65">
        <f>AO23+AO25</f>
        <v>17609.295118371996</v>
      </c>
      <c r="AP26" s="147">
        <f t="shared" si="5"/>
        <v>0.26536008315810722</v>
      </c>
      <c r="AQ26" s="65">
        <f t="shared" ref="AQ26:AS26" si="21">AQ23+AQ25</f>
        <v>4256.9751183720045</v>
      </c>
      <c r="AR26" s="148">
        <f t="shared" si="7"/>
        <v>5.5782361275414791E-2</v>
      </c>
      <c r="AS26" s="65">
        <f t="shared" si="21"/>
        <v>2278.3071183719994</v>
      </c>
      <c r="AT26" s="150">
        <f t="shared" si="8"/>
        <v>2.5960330013776026E-2</v>
      </c>
      <c r="BF26" s="63" t="s">
        <v>231</v>
      </c>
      <c r="BG26" s="64"/>
      <c r="BH26" s="64"/>
      <c r="BI26" s="64"/>
      <c r="BJ26" s="65">
        <f>BJ25</f>
        <v>8480.7579934733512</v>
      </c>
      <c r="BK26" s="65">
        <f>BJ26+BK25</f>
        <v>612.04398694669908</v>
      </c>
      <c r="BL26" s="66">
        <f>+BK26+BL25</f>
        <v>-8938.5378195799585</v>
      </c>
      <c r="BO26" s="123" t="s">
        <v>200</v>
      </c>
      <c r="BR26" s="104">
        <f>IF(ISERROR('Données à saisir'!$J$73/12),0,'Données à saisir'!$J$73/12)</f>
        <v>1421.547619047619</v>
      </c>
      <c r="BS26" s="104">
        <f>IF(ISERROR('Données à saisir'!$J$73/12),0,'Données à saisir'!$J$73/12)</f>
        <v>1421.547619047619</v>
      </c>
      <c r="BT26" s="104">
        <f>IF(ISERROR('Données à saisir'!$J$73/12),0,'Données à saisir'!$J$73/12)</f>
        <v>1421.547619047619</v>
      </c>
      <c r="BU26" s="104">
        <f>IF(ISERROR('Données à saisir'!$J$73/12),0,'Données à saisir'!$J$73/12)</f>
        <v>1421.547619047619</v>
      </c>
      <c r="BV26" s="120">
        <f>IF(ISERROR('Données à saisir'!$J$73/12),0,'Données à saisir'!$J$73/12)</f>
        <v>1421.547619047619</v>
      </c>
      <c r="BY26" s="196">
        <f>IF(ISERROR('Données à saisir'!$J$73/12),0,'Données à saisir'!$J$73/12)</f>
        <v>1421.547619047619</v>
      </c>
      <c r="BZ26" s="104">
        <f>IF(ISERROR('Données à saisir'!$J$73/12),0,'Données à saisir'!$J$73/12)</f>
        <v>1421.547619047619</v>
      </c>
      <c r="CA26" s="104">
        <f>IF(ISERROR('Données à saisir'!$J$73/12),0,'Données à saisir'!$J$73/12)</f>
        <v>1421.547619047619</v>
      </c>
      <c r="CB26" s="104">
        <f>IF(ISERROR('Données à saisir'!$J$73/12),0,'Données à saisir'!$J$73/12)</f>
        <v>1421.547619047619</v>
      </c>
      <c r="CC26" s="104">
        <f>IF(ISERROR('Données à saisir'!$J$73/12),0,'Données à saisir'!$J$73/12)</f>
        <v>1421.547619047619</v>
      </c>
      <c r="CD26" s="104">
        <f>IF(ISERROR('Données à saisir'!$J$73/12),0,'Données à saisir'!$J$73/12)</f>
        <v>1421.547619047619</v>
      </c>
      <c r="CE26" s="132">
        <f>IF(ISERROR('Données à saisir'!$J$73/12),0,'Données à saisir'!$J$73/12)</f>
        <v>1421.547619047619</v>
      </c>
      <c r="CF26" s="201">
        <f t="shared" si="20"/>
        <v>17058.571428571424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Véhicule</v>
      </c>
      <c r="Q27" s="42">
        <f>IF(ISBLANK('Données à saisir'!B30),"",'Données à saisir'!B30)</f>
        <v>35000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du véhicule</v>
      </c>
      <c r="AG27" s="62">
        <f>IF(ISBLANK('Données à saisir'!B86),0,'Données à saisir'!B86)</f>
        <v>600</v>
      </c>
      <c r="AH27" s="62">
        <f>IF(ISBLANK('Données à saisir'!C86),0,'Données à saisir'!C86)</f>
        <v>650</v>
      </c>
      <c r="AI27" s="54">
        <f>IF(ISBLANK('Données à saisir'!D86),0,'Données à saisir'!D86)</f>
        <v>700</v>
      </c>
      <c r="AL27" s="63" t="s">
        <v>135</v>
      </c>
      <c r="AM27" s="64"/>
      <c r="AN27" s="64"/>
      <c r="AO27" s="65">
        <f>IF(ISERROR(AO26-AG45),AO26,(AO26-AG45))</f>
        <v>14967.900850616197</v>
      </c>
      <c r="AP27" s="147">
        <f t="shared" si="5"/>
        <v>0.22555607068439115</v>
      </c>
      <c r="AQ27" s="65">
        <f>IF(ISERROR(AQ26-AH45),AQ26,(AQ26-AH45))</f>
        <v>3618.4288506162038</v>
      </c>
      <c r="AR27" s="148">
        <f t="shared" si="7"/>
        <v>4.7415007084102574E-2</v>
      </c>
      <c r="AS27" s="65">
        <f>IF(ISERROR(AS26-AI45),AS26,(AS26-AI45))</f>
        <v>1936.5610506161995</v>
      </c>
      <c r="AT27" s="150">
        <f t="shared" si="8"/>
        <v>2.2066280511709623E-2</v>
      </c>
      <c r="BO27" s="123" t="s">
        <v>201</v>
      </c>
      <c r="BR27" s="104">
        <f>BR19*'Données à saisir'!$D$123</f>
        <v>404.8</v>
      </c>
      <c r="BS27" s="104">
        <f>BS19*'Données à saisir'!$D$123</f>
        <v>387.2</v>
      </c>
      <c r="BT27" s="104">
        <f>BT19*'Données à saisir'!$D$123</f>
        <v>440</v>
      </c>
      <c r="BU27" s="104">
        <f>BU19*'Données à saisir'!$D$123</f>
        <v>404.8</v>
      </c>
      <c r="BV27" s="120">
        <f>BV19*'Données à saisir'!$D$123</f>
        <v>440</v>
      </c>
      <c r="BY27" s="196">
        <f>BY19*'Données à saisir'!$D$123</f>
        <v>480</v>
      </c>
      <c r="BZ27" s="104">
        <f>BZ19*'Données à saisir'!$D$123</f>
        <v>480</v>
      </c>
      <c r="CA27" s="104">
        <f>CA19*'Données à saisir'!$D$123</f>
        <v>192</v>
      </c>
      <c r="CB27" s="104">
        <f>CB19*'Données à saisir'!$D$123</f>
        <v>520</v>
      </c>
      <c r="CC27" s="104">
        <f>CC19*'Données à saisir'!$D$123</f>
        <v>520</v>
      </c>
      <c r="CD27" s="104">
        <f>CD19*'Données à saisir'!$D$123</f>
        <v>520</v>
      </c>
      <c r="CE27" s="132">
        <f>CE19*'Données à saisir'!$D$123</f>
        <v>520</v>
      </c>
      <c r="CF27" s="201">
        <f t="shared" si="20"/>
        <v>5308.8</v>
      </c>
    </row>
    <row r="28" spans="2:84" ht="15.1" customHeight="1" thickBot="1" x14ac:dyDescent="0.3">
      <c r="B28" s="26"/>
      <c r="C28" s="327" t="str">
        <f>IF(ISBLANK('Données à saisir'!B7),"",('Données à saisir'!B7))</f>
        <v>Taxi</v>
      </c>
      <c r="D28" s="327"/>
      <c r="E28" s="327"/>
      <c r="F28" s="327"/>
      <c r="G28" s="327"/>
      <c r="H28" s="27"/>
      <c r="K28" s="44" t="str">
        <f>'Données à saisir'!A31</f>
        <v>Matériel informatique / électronique</v>
      </c>
      <c r="Q28" s="42" t="str">
        <f>IF(ISBLANK('Données à saisir'!B31),"",'Données à saisir'!B31)</f>
        <v/>
      </c>
      <c r="AC28" s="44" t="str">
        <f>'Données à saisir'!A87</f>
        <v>Budget publicité et communication</v>
      </c>
      <c r="AG28" s="62">
        <f>IF(ISBLANK('Données à saisir'!B87),0,'Données à saisir'!B87)</f>
        <v>300</v>
      </c>
      <c r="AH28" s="62">
        <f>IF(ISBLANK('Données à saisir'!C87),0,'Données à saisir'!C87)</f>
        <v>300</v>
      </c>
      <c r="AI28" s="54">
        <f>IF(ISBLANK('Données à saisir'!D87),0,'Données à saisir'!D87)</f>
        <v>300</v>
      </c>
      <c r="AL28" s="38" t="s">
        <v>133</v>
      </c>
      <c r="AM28" s="1"/>
      <c r="AN28" s="1"/>
      <c r="AO28" s="104">
        <f>AO27+AO22</f>
        <v>20539.329422044768</v>
      </c>
      <c r="AP28" s="145">
        <f t="shared" si="5"/>
        <v>0.30951370437077708</v>
      </c>
      <c r="AQ28" s="104">
        <f t="shared" ref="AQ28:AS28" si="22">AQ27+AQ22</f>
        <v>9189.8574220447754</v>
      </c>
      <c r="AR28" s="149">
        <f t="shared" si="7"/>
        <v>0.12042164507226427</v>
      </c>
      <c r="AS28" s="104">
        <f t="shared" si="22"/>
        <v>7507.9896220447708</v>
      </c>
      <c r="AT28" s="151">
        <f t="shared" si="8"/>
        <v>8.5550313544893702E-2</v>
      </c>
      <c r="BF28" s="92" t="s">
        <v>227</v>
      </c>
      <c r="BI28" s="338">
        <f>Q31</f>
        <v>5000</v>
      </c>
      <c r="BJ28" s="338"/>
      <c r="BO28" s="123" t="s">
        <v>56</v>
      </c>
      <c r="BR28" s="104">
        <f>$AG$17/12</f>
        <v>661.66666666666663</v>
      </c>
      <c r="BS28" s="104">
        <f t="shared" ref="BS28:CE28" si="23">$AG$17/12</f>
        <v>661.66666666666663</v>
      </c>
      <c r="BT28" s="104">
        <f t="shared" si="23"/>
        <v>661.66666666666663</v>
      </c>
      <c r="BU28" s="104">
        <f t="shared" si="23"/>
        <v>661.66666666666663</v>
      </c>
      <c r="BV28" s="120">
        <f t="shared" si="23"/>
        <v>661.66666666666663</v>
      </c>
      <c r="BY28" s="196">
        <f t="shared" si="23"/>
        <v>661.66666666666663</v>
      </c>
      <c r="BZ28" s="104">
        <f t="shared" si="23"/>
        <v>661.66666666666663</v>
      </c>
      <c r="CA28" s="104">
        <f t="shared" si="23"/>
        <v>661.66666666666663</v>
      </c>
      <c r="CB28" s="104">
        <f t="shared" si="23"/>
        <v>661.66666666666663</v>
      </c>
      <c r="CC28" s="104">
        <f t="shared" si="23"/>
        <v>661.66666666666663</v>
      </c>
      <c r="CD28" s="104">
        <f t="shared" si="23"/>
        <v>661.66666666666663</v>
      </c>
      <c r="CE28" s="132">
        <f t="shared" si="23"/>
        <v>661.66666666666663</v>
      </c>
      <c r="CF28" s="201">
        <f t="shared" si="20"/>
        <v>7940.0000000000009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19</v>
      </c>
      <c r="Y29" s="87" t="s">
        <v>20</v>
      </c>
      <c r="Z29" s="83" t="s">
        <v>21</v>
      </c>
      <c r="AC29" s="44" t="str">
        <f>'Données à saisir'!A88</f>
        <v>Coût location licence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302" t="s">
        <v>156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consommables</v>
      </c>
      <c r="L30" s="1"/>
      <c r="M30" s="1"/>
      <c r="N30" s="1"/>
      <c r="O30" s="1"/>
      <c r="P30" s="1"/>
      <c r="Q30" s="41">
        <f>IF(ISBLANK('Données à saisir'!B32),"",'Données à saisir'!B32)</f>
        <v>350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2700</v>
      </c>
      <c r="AI30" s="54">
        <f>IF(ISBLANK('Données à saisir'!D89),0,'Données à saisir'!D89)</f>
        <v>2700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5000</v>
      </c>
      <c r="T31" s="107" t="s">
        <v>122</v>
      </c>
      <c r="U31" s="34"/>
      <c r="V31" s="34"/>
      <c r="W31" s="34"/>
      <c r="X31" s="110">
        <f>SUM(X33:X39)</f>
        <v>357.14285714285717</v>
      </c>
      <c r="Y31" s="110">
        <f>SUM(Y33:Y39)</f>
        <v>357.14285714285717</v>
      </c>
      <c r="Z31" s="111">
        <f>SUM(Z33:Z39)</f>
        <v>357.14285714285717</v>
      </c>
      <c r="AC31" s="44" t="str">
        <f>IF(ISBLANK('Données à saisir'!A93),"",'Données à saisir'!A93)</f>
        <v>Coût location lumineux, taximètre, imprimante</v>
      </c>
      <c r="AG31" s="62">
        <f>IF(ISBLANK('Données à saisir'!B93),0,'Données à saisir'!B93)</f>
        <v>500</v>
      </c>
      <c r="AH31" s="62">
        <f>IF(ISBLANK('Données à saisir'!C93),0,'Données à saisir'!C93)</f>
        <v>550</v>
      </c>
      <c r="AI31" s="69">
        <f>IF(ISBLANK('Données à saisir'!D93),0,'Données à saisir'!D93)</f>
        <v>600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50</v>
      </c>
      <c r="Q32" s="45">
        <f>+SUM(Q12,Q23,Q30:Q31)</f>
        <v>184410</v>
      </c>
      <c r="T32" s="35"/>
      <c r="X32" s="234"/>
      <c r="Y32" s="234"/>
      <c r="Z32" s="235"/>
      <c r="AC32" s="44" t="str">
        <f>IF(ISBLANK('Données à saisir'!A94),"",'Données à saisir'!A94)</f>
        <v>Contrôle technique</v>
      </c>
      <c r="AD32" s="50"/>
      <c r="AE32" s="50"/>
      <c r="AF32" s="50"/>
      <c r="AG32" s="62">
        <f>IF(ISBLANK('Données à saisir'!B94),0,'Données à saisir'!B94)</f>
        <v>90</v>
      </c>
      <c r="AH32" s="62">
        <f>IF(ISBLANK('Données à saisir'!C94),0,'Données à saisir'!C94)</f>
        <v>90</v>
      </c>
      <c r="AI32" s="69">
        <f>IF(ISBLANK('Données à saisir'!D94),0,'Données à saisir'!D94)</f>
        <v>90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57.142857142857146</v>
      </c>
      <c r="Y33" s="113">
        <f>'Données à saisir'!D40</f>
        <v>57.142857142857146</v>
      </c>
      <c r="Z33" s="236">
        <f>'Données à saisir'!E40</f>
        <v>57.142857142857146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164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110</v>
      </c>
      <c r="L34" s="316"/>
      <c r="M34" s="316"/>
      <c r="N34" s="316"/>
      <c r="O34" s="316"/>
      <c r="P34" s="317"/>
      <c r="Q34" s="313" t="s">
        <v>49</v>
      </c>
      <c r="T34" s="44" t="str">
        <f t="shared" ref="T34" si="26">K15</f>
        <v>Formation, examen</v>
      </c>
      <c r="X34" s="113">
        <f>'Données à saisir'!C42</f>
        <v>142.85714285714286</v>
      </c>
      <c r="Y34" s="113">
        <f>'Données à saisir'!D42</f>
        <v>142.85714285714286</v>
      </c>
      <c r="Z34" s="236">
        <f>'Données à saisir'!E42</f>
        <v>142.85714285714286</v>
      </c>
      <c r="AC34" s="67"/>
      <c r="AG34" s="62"/>
      <c r="AH34" s="62"/>
      <c r="AI34" s="69"/>
      <c r="AL34" s="302" t="s">
        <v>133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162</v>
      </c>
      <c r="BA34" s="334" t="s">
        <v>19</v>
      </c>
      <c r="BB34" s="323" t="s">
        <v>20</v>
      </c>
      <c r="BC34" s="336" t="s">
        <v>21</v>
      </c>
      <c r="BF34" s="183"/>
      <c r="BG34" s="184"/>
      <c r="BI34" s="184"/>
      <c r="BJ34" s="185"/>
      <c r="BK34" s="185"/>
      <c r="BL34" s="185"/>
      <c r="BO34" s="63" t="s">
        <v>202</v>
      </c>
      <c r="BP34" s="64"/>
      <c r="BQ34" s="64"/>
      <c r="BR34" s="65">
        <f>SUM(BR30:BR33)</f>
        <v>2216.666666666667</v>
      </c>
      <c r="BS34" s="65">
        <f t="shared" ref="BS34:CE34" si="27">SUM(BS30:BS33)</f>
        <v>2216.666666666667</v>
      </c>
      <c r="BT34" s="65">
        <f t="shared" si="27"/>
        <v>2216.666666666667</v>
      </c>
      <c r="BU34" s="65">
        <f t="shared" si="27"/>
        <v>2216.666666666667</v>
      </c>
      <c r="BV34" s="66">
        <f t="shared" si="27"/>
        <v>2216.666666666667</v>
      </c>
      <c r="BY34" s="197">
        <f t="shared" si="27"/>
        <v>2216.666666666667</v>
      </c>
      <c r="BZ34" s="65">
        <f t="shared" si="27"/>
        <v>2216.666666666667</v>
      </c>
      <c r="CA34" s="65">
        <f t="shared" si="27"/>
        <v>2216.666666666667</v>
      </c>
      <c r="CB34" s="65">
        <f t="shared" si="27"/>
        <v>2216.666666666667</v>
      </c>
      <c r="CC34" s="65">
        <f t="shared" si="27"/>
        <v>2216.666666666667</v>
      </c>
      <c r="CD34" s="65">
        <f t="shared" si="27"/>
        <v>2216.666666666667</v>
      </c>
      <c r="CE34" s="131">
        <f t="shared" si="27"/>
        <v>2216.666666666667</v>
      </c>
      <c r="CF34" s="200">
        <f t="shared" si="20"/>
        <v>26600.000000000011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 franchise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102</v>
      </c>
      <c r="AD35" s="64"/>
      <c r="AE35" s="64"/>
      <c r="AF35" s="64"/>
      <c r="AG35" s="65">
        <f>AG16-AG17</f>
        <v>53111.199999999997</v>
      </c>
      <c r="AH35" s="65">
        <f>AH16-AH17</f>
        <v>61458.880000000005</v>
      </c>
      <c r="AI35" s="66">
        <f>AI16-AI17</f>
        <v>71530.212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159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277.53969251661903</v>
      </c>
      <c r="BS35" s="104">
        <f>$AG42/12</f>
        <v>277.53969251661903</v>
      </c>
      <c r="BT35" s="104">
        <f>$AG42/12</f>
        <v>277.53969251661903</v>
      </c>
      <c r="BU35" s="104">
        <f>$AG42/12</f>
        <v>277.53969251661903</v>
      </c>
      <c r="BV35" s="120">
        <f>$AG42/12</f>
        <v>277.53969251661903</v>
      </c>
      <c r="BY35" s="196">
        <f t="shared" ref="BY35:CE35" si="28">$AG42/12</f>
        <v>277.53969251661903</v>
      </c>
      <c r="BZ35" s="104">
        <f t="shared" si="28"/>
        <v>277.53969251661903</v>
      </c>
      <c r="CA35" s="104">
        <f t="shared" si="28"/>
        <v>277.53969251661903</v>
      </c>
      <c r="CB35" s="104">
        <f t="shared" si="28"/>
        <v>277.53969251661903</v>
      </c>
      <c r="CC35" s="104">
        <f t="shared" si="28"/>
        <v>277.53969251661903</v>
      </c>
      <c r="CD35" s="104">
        <f t="shared" si="28"/>
        <v>277.53969251661903</v>
      </c>
      <c r="CE35" s="132">
        <f t="shared" si="28"/>
        <v>277.53969251661903</v>
      </c>
      <c r="CF35" s="201">
        <f t="shared" si="20"/>
        <v>3330.476310199429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57.142857142857146</v>
      </c>
      <c r="Y36" s="113">
        <f>'Données à saisir'!D48</f>
        <v>57.142857142857146</v>
      </c>
      <c r="Z36" s="236">
        <f>'Données à saisir'!E48</f>
        <v>57.142857142857146</v>
      </c>
      <c r="AC36" s="38" t="s">
        <v>57</v>
      </c>
      <c r="AG36" s="57">
        <f>IF(ISBLANK('Données à saisir'!B91),0,'Données à saisir'!B91)</f>
        <v>0</v>
      </c>
      <c r="AH36" s="57">
        <f>IF(ISBLANK('Données à saisir'!C91),0,'Données à saisir'!C91)</f>
        <v>600</v>
      </c>
      <c r="AI36" s="53">
        <f>IF(ISBLANK('Données à saisir'!D91),0,'Données à saisir'!D91)</f>
        <v>650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161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203</v>
      </c>
      <c r="BP36" s="64"/>
      <c r="BQ36" s="64"/>
      <c r="BR36" s="65">
        <f>SUM(BR24:BR29,BR34:BR35)</f>
        <v>184392.22064489755</v>
      </c>
      <c r="BS36" s="65">
        <f>SUM(BS24:BS29,BS34:BS35)</f>
        <v>4964.6206448975718</v>
      </c>
      <c r="BT36" s="65">
        <f>SUM(BT24:BT29,BT34:BT35)</f>
        <v>5017.420644897571</v>
      </c>
      <c r="BU36" s="65">
        <f>SUM(BU24:BU29,BU34:BU35)</f>
        <v>4982.2206448975712</v>
      </c>
      <c r="BV36" s="66">
        <f>SUM(BV24:BV29,BV34:BV35)</f>
        <v>5017.420644897571</v>
      </c>
      <c r="BY36" s="197">
        <f t="shared" ref="BY36:CE36" si="29">SUM(BY24:BY29,BY34:BY35)</f>
        <v>5057.420644897571</v>
      </c>
      <c r="BZ36" s="65">
        <f t="shared" si="29"/>
        <v>5057.420644897571</v>
      </c>
      <c r="CA36" s="65">
        <f t="shared" si="29"/>
        <v>4769.420644897571</v>
      </c>
      <c r="CB36" s="65">
        <f t="shared" si="29"/>
        <v>5097.420644897571</v>
      </c>
      <c r="CC36" s="65">
        <f t="shared" si="29"/>
        <v>5097.420644897571</v>
      </c>
      <c r="CD36" s="65">
        <f t="shared" si="29"/>
        <v>5097.420644897571</v>
      </c>
      <c r="CE36" s="131">
        <f t="shared" si="29"/>
        <v>5097.420644897571</v>
      </c>
      <c r="CF36" s="200">
        <f t="shared" si="20"/>
        <v>239647.84773877074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51</v>
      </c>
      <c r="Q37" s="41">
        <f>SUM(Q38:Q39)</f>
        <v>65000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8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158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205</v>
      </c>
      <c r="BP37" s="64"/>
      <c r="BQ37" s="64"/>
      <c r="BR37" s="65">
        <f>SUM(BR15:BR20)</f>
        <v>189470</v>
      </c>
      <c r="BS37" s="65">
        <f>SUM(BS15:BS20)</f>
        <v>4840</v>
      </c>
      <c r="BT37" s="65">
        <f>SUM(BT15:BT20)</f>
        <v>5500</v>
      </c>
      <c r="BU37" s="65">
        <f>SUM(BU15:BU20)</f>
        <v>5060</v>
      </c>
      <c r="BV37" s="66">
        <f>SUM(BV15:BV20)</f>
        <v>5500</v>
      </c>
      <c r="BY37" s="197">
        <f t="shared" ref="BY37:CE37" si="30">SUM(BY15:BY20)</f>
        <v>6000</v>
      </c>
      <c r="BZ37" s="65">
        <f t="shared" si="30"/>
        <v>6000</v>
      </c>
      <c r="CA37" s="65">
        <f t="shared" si="30"/>
        <v>2400</v>
      </c>
      <c r="CB37" s="65">
        <f t="shared" si="30"/>
        <v>6500</v>
      </c>
      <c r="CC37" s="65">
        <f t="shared" si="30"/>
        <v>6500</v>
      </c>
      <c r="CD37" s="65">
        <f t="shared" si="30"/>
        <v>6500</v>
      </c>
      <c r="CE37" s="131">
        <f t="shared" si="30"/>
        <v>6500</v>
      </c>
      <c r="CF37" s="200">
        <f t="shared" ref="CF37" si="31">SUM(BR37:CE37)</f>
        <v>250770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65000</v>
      </c>
      <c r="T38" s="44"/>
      <c r="X38" s="113"/>
      <c r="Y38" s="113"/>
      <c r="Z38" s="236"/>
      <c r="AC38" s="123" t="s">
        <v>9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160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204</v>
      </c>
      <c r="BR38" s="62">
        <v>0</v>
      </c>
      <c r="BS38" s="104">
        <f>BR40</f>
        <v>5077.7793551024515</v>
      </c>
      <c r="BT38" s="104">
        <f>BS40</f>
        <v>4953.1587102048798</v>
      </c>
      <c r="BU38" s="104">
        <f>BT40</f>
        <v>5435.7380653073087</v>
      </c>
      <c r="BV38" s="159">
        <f>BU40</f>
        <v>5513.5174204097375</v>
      </c>
      <c r="BY38" s="196">
        <f>BV40</f>
        <v>5996.0967755121665</v>
      </c>
      <c r="BZ38" s="104">
        <f t="shared" ref="BZ38:CE38" si="32">BY40</f>
        <v>6938.6761306145954</v>
      </c>
      <c r="CA38" s="104">
        <f t="shared" si="32"/>
        <v>7881.2554857170244</v>
      </c>
      <c r="CB38" s="104">
        <f t="shared" si="32"/>
        <v>5511.8348408194533</v>
      </c>
      <c r="CC38" s="104">
        <f t="shared" si="32"/>
        <v>6914.4141959218823</v>
      </c>
      <c r="CD38" s="104">
        <f t="shared" si="32"/>
        <v>8316.9935510243122</v>
      </c>
      <c r="CE38" s="132">
        <f t="shared" si="32"/>
        <v>9719.5729061267411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60</v>
      </c>
      <c r="AG39" s="57">
        <f>'Données à saisir'!B134</f>
        <v>20000</v>
      </c>
      <c r="AH39" s="57">
        <f>'Données à saisir'!C134</f>
        <v>28000</v>
      </c>
      <c r="AI39" s="53">
        <f>'Données à saisir'!D134</f>
        <v>35000</v>
      </c>
      <c r="AW39" s="166" t="s">
        <v>163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209</v>
      </c>
      <c r="BP39" s="50"/>
      <c r="BQ39" s="50"/>
      <c r="BR39" s="57">
        <f>BR37-BR36</f>
        <v>5077.7793551024515</v>
      </c>
      <c r="BS39" s="57">
        <f t="shared" ref="BS39:CE39" si="33">BS37-BS36</f>
        <v>-124.62064489757176</v>
      </c>
      <c r="BT39" s="57">
        <f t="shared" si="33"/>
        <v>482.57935510242896</v>
      </c>
      <c r="BU39" s="57">
        <f t="shared" si="33"/>
        <v>77.779355102428781</v>
      </c>
      <c r="BV39" s="68">
        <f t="shared" si="33"/>
        <v>482.57935510242896</v>
      </c>
      <c r="BW39" s="1"/>
      <c r="BX39" s="1"/>
      <c r="BY39" s="215">
        <f t="shared" si="33"/>
        <v>942.57935510242896</v>
      </c>
      <c r="BZ39" s="57">
        <f t="shared" si="33"/>
        <v>942.57935510242896</v>
      </c>
      <c r="CA39" s="57">
        <f t="shared" si="33"/>
        <v>-2369.420644897571</v>
      </c>
      <c r="CB39" s="57">
        <f t="shared" si="33"/>
        <v>1402.579355102429</v>
      </c>
      <c r="CC39" s="57">
        <f t="shared" si="33"/>
        <v>1402.579355102429</v>
      </c>
      <c r="CD39" s="57">
        <f t="shared" si="33"/>
        <v>1402.579355102429</v>
      </c>
      <c r="CE39" s="74">
        <f t="shared" si="33"/>
        <v>1402.579355102429</v>
      </c>
      <c r="CF39" s="212"/>
    </row>
    <row r="40" spans="2:84" ht="15.1" customHeight="1" thickBot="1" x14ac:dyDescent="0.3">
      <c r="K40" s="38" t="s">
        <v>47</v>
      </c>
      <c r="N40" s="97" t="s">
        <v>111</v>
      </c>
      <c r="O40" s="97" t="s">
        <v>112</v>
      </c>
      <c r="Q40" s="41">
        <f>SUM(Q41:Q43)</f>
        <v>119410</v>
      </c>
      <c r="T40" s="107" t="s">
        <v>123</v>
      </c>
      <c r="U40" s="34"/>
      <c r="V40" s="34"/>
      <c r="W40" s="34"/>
      <c r="X40" s="110">
        <f>SUM(X42:X46)</f>
        <v>5214.2857142857147</v>
      </c>
      <c r="Y40" s="110">
        <f>SUM(Y42:Y46)</f>
        <v>5214.2857142857147</v>
      </c>
      <c r="Z40" s="237">
        <f>SUM(Z42:Z46)</f>
        <v>5214.2857142857147</v>
      </c>
      <c r="AC40" s="123" t="s">
        <v>59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19600</v>
      </c>
      <c r="AI40" s="120">
        <f>IF('Données à saisir'!C136="Oui",'Données à saisir'!I147,'Données à saisir'!D147)</f>
        <v>24500</v>
      </c>
      <c r="AO40" s="321" t="s">
        <v>19</v>
      </c>
      <c r="AP40" s="125"/>
      <c r="AQ40" s="331" t="s">
        <v>20</v>
      </c>
      <c r="AR40" s="134"/>
      <c r="AS40" s="331" t="s">
        <v>21</v>
      </c>
      <c r="AT40" s="83"/>
      <c r="BO40" s="63" t="s">
        <v>210</v>
      </c>
      <c r="BP40" s="64"/>
      <c r="BQ40" s="64"/>
      <c r="BR40" s="65">
        <f>BR39</f>
        <v>5077.7793551024515</v>
      </c>
      <c r="BS40" s="65">
        <f>BS38+BS39</f>
        <v>4953.1587102048798</v>
      </c>
      <c r="BT40" s="65">
        <f>BT38+BT39</f>
        <v>5435.7380653073087</v>
      </c>
      <c r="BU40" s="65">
        <f>BU38+BU39</f>
        <v>5513.5174204097375</v>
      </c>
      <c r="BV40" s="66">
        <f t="shared" ref="BV40:CE40" si="34">BV38+BV39</f>
        <v>5996.0967755121665</v>
      </c>
      <c r="BY40" s="197">
        <f t="shared" si="34"/>
        <v>6938.6761306145954</v>
      </c>
      <c r="BZ40" s="65">
        <f t="shared" si="34"/>
        <v>7881.2554857170244</v>
      </c>
      <c r="CA40" s="65">
        <f t="shared" si="34"/>
        <v>5511.8348408194533</v>
      </c>
      <c r="CB40" s="65">
        <f t="shared" si="34"/>
        <v>6914.4141959218823</v>
      </c>
      <c r="CC40" s="65">
        <f t="shared" si="34"/>
        <v>8316.9935510243122</v>
      </c>
      <c r="CD40" s="65">
        <f t="shared" si="34"/>
        <v>9719.5729061267411</v>
      </c>
      <c r="CE40" s="131">
        <f t="shared" si="34"/>
        <v>11122.15226122917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3.6999999999999998E-2</v>
      </c>
      <c r="O41" s="96">
        <f>IF(ISBLANK('Données à saisir'!D61),"",'Données à saisir'!D61)</f>
        <v>84</v>
      </c>
      <c r="Q41" s="42">
        <f>IF(ISBLANK('Données à saisir'!B61),0,'Données à saisir'!B61)</f>
        <v>119410</v>
      </c>
      <c r="T41" s="35"/>
      <c r="X41" s="234"/>
      <c r="Y41" s="234"/>
      <c r="Z41" s="235"/>
      <c r="AC41" s="63" t="s">
        <v>103</v>
      </c>
      <c r="AD41" s="64"/>
      <c r="AE41" s="64"/>
      <c r="AF41" s="64"/>
      <c r="AG41" s="65">
        <f>AG35-SUM(AG36:AG40)</f>
        <v>26511.199999999997</v>
      </c>
      <c r="AH41" s="65">
        <f t="shared" ref="AH41:AI41" si="35">AH35-SUM(AH36:AH40)</f>
        <v>13258.880000000005</v>
      </c>
      <c r="AI41" s="66">
        <f t="shared" si="35"/>
        <v>11380.212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Plaque, lumière et éléments de communication</v>
      </c>
      <c r="X42" s="113">
        <f>'Données à saisir'!C50</f>
        <v>214.28571428571428</v>
      </c>
      <c r="Y42" s="113">
        <f>'Données à saisir'!D50</f>
        <v>214.28571428571428</v>
      </c>
      <c r="Z42" s="236">
        <f>'Données à saisir'!E50</f>
        <v>214.28571428571428</v>
      </c>
      <c r="AC42" s="38" t="s">
        <v>107</v>
      </c>
      <c r="AD42" s="1"/>
      <c r="AE42" s="1"/>
      <c r="AF42" s="1"/>
      <c r="AG42" s="57">
        <f>IF(ISERROR('Données à saisir'!B90+SUM('Données à saisir'!G70:G72)),0,'Données à saisir'!B90+SUM('Données à saisir'!G70:G72))</f>
        <v>3330.4763101994286</v>
      </c>
      <c r="AH42" s="57">
        <f>'Données à saisir'!C90+SUM('Données à saisir'!H70:H72)</f>
        <v>3430.4763101994286</v>
      </c>
      <c r="AI42" s="53">
        <f>'Données à saisir'!D90+SUM('Données à saisir'!I70:I72)</f>
        <v>3530.4763101994286</v>
      </c>
      <c r="AL42" s="63" t="s">
        <v>135</v>
      </c>
      <c r="AM42" s="64"/>
      <c r="AN42" s="64"/>
      <c r="AO42" s="131">
        <f>AO27</f>
        <v>14967.900850616197</v>
      </c>
      <c r="AP42" s="136"/>
      <c r="AQ42" s="131">
        <f>AQ27</f>
        <v>3618.4288506162038</v>
      </c>
      <c r="AR42" s="136"/>
      <c r="AS42" s="128">
        <f>AS27</f>
        <v>1936.5610506161995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Autre investissement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61</v>
      </c>
      <c r="AD43" s="1"/>
      <c r="AE43" s="1"/>
      <c r="AF43" s="1"/>
      <c r="AG43" s="57">
        <f>'Données à saisir'!C39</f>
        <v>5571.4285714285716</v>
      </c>
      <c r="AH43" s="57">
        <f>'Données à saisir'!D39</f>
        <v>5571.4285714285716</v>
      </c>
      <c r="AI43" s="53">
        <f>'Données à saisir'!E39</f>
        <v>5571.4285714285716</v>
      </c>
      <c r="AL43" s="122" t="s">
        <v>136</v>
      </c>
      <c r="AM43" s="1"/>
      <c r="AN43" s="1"/>
      <c r="AO43" s="132">
        <f>AO22</f>
        <v>5571.4285714285716</v>
      </c>
      <c r="AP43" s="137"/>
      <c r="AQ43" s="132">
        <f>AQ22</f>
        <v>5571.4285714285716</v>
      </c>
      <c r="AR43" s="137"/>
      <c r="AS43" s="127">
        <f>AS22</f>
        <v>5571.4285714285716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 xml:space="preserve">Autres travaux 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104</v>
      </c>
      <c r="AD44" s="64"/>
      <c r="AE44" s="64"/>
      <c r="AF44" s="64"/>
      <c r="AG44" s="65">
        <f>AG41-AG42-AG43</f>
        <v>17609.295118371996</v>
      </c>
      <c r="AH44" s="65">
        <f t="shared" ref="AH44:AI44" si="37">AH41-AH42-AH43</f>
        <v>4256.9751183720045</v>
      </c>
      <c r="AI44" s="66">
        <f t="shared" si="37"/>
        <v>2278.3071183719994</v>
      </c>
      <c r="AL44" s="63" t="s">
        <v>133</v>
      </c>
      <c r="AM44" s="64"/>
      <c r="AN44" s="64"/>
      <c r="AO44" s="131">
        <f>AO42+AO43</f>
        <v>20539.329422044768</v>
      </c>
      <c r="AP44" s="136"/>
      <c r="AQ44" s="131">
        <f t="shared" ref="AQ44:AS44" si="38">AQ42+AQ43</f>
        <v>9189.8574220447754</v>
      </c>
      <c r="AR44" s="136"/>
      <c r="AS44" s="128">
        <f t="shared" si="38"/>
        <v>7507.9896220447708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Véhicule</v>
      </c>
      <c r="X45" s="113">
        <f>'Données à saisir'!C53</f>
        <v>5000</v>
      </c>
      <c r="Y45" s="113">
        <f>'Données à saisir'!D53</f>
        <v>5000</v>
      </c>
      <c r="Z45" s="236">
        <f>'Données à saisir'!E53</f>
        <v>5000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2641.3942677557993</v>
      </c>
      <c r="AH45" s="57">
        <f>IF(AC45="Impôt sur les sociétés",IF(AH44&lt;0,0,IF(AH44&gt;38120,38120*0.15+(AH44-38120)*25%,AH44*0.15)),"")</f>
        <v>638.54626775580061</v>
      </c>
      <c r="AI45" s="53">
        <f>+IF(AC45="Impôt sur les sociétés",IF(AI44&lt;0,0,IF(AI44&gt;38120,38120*0.15+(AI44-38120)*25%,AI44*0.15)),"")</f>
        <v>341.74606775579991</v>
      </c>
      <c r="AL45" s="123" t="s">
        <v>137</v>
      </c>
      <c r="AO45" s="132">
        <f>IF(ISERROR(SUM('Données à saisir'!J70:J72)),0,SUM('Données à saisir'!J70:J72))</f>
        <v>17058.571428571428</v>
      </c>
      <c r="AP45" s="137"/>
      <c r="AQ45" s="132">
        <f>SUM('Données à saisir'!K70:K72)</f>
        <v>17058.571428571428</v>
      </c>
      <c r="AR45" s="137"/>
      <c r="AS45" s="127">
        <f>SUM('Données à saisir'!L70:L72)</f>
        <v>17058.571428571428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informatique / électronique</v>
      </c>
      <c r="X46" s="113">
        <f>'Données à saisir'!C54</f>
        <v>0</v>
      </c>
      <c r="Y46" s="113">
        <f>'Données à saisir'!D54</f>
        <v>0</v>
      </c>
      <c r="Z46" s="236">
        <f>'Données à saisir'!E54</f>
        <v>0</v>
      </c>
      <c r="AC46" s="39"/>
      <c r="AG46" s="56"/>
      <c r="AH46" s="56"/>
      <c r="AI46" s="53"/>
      <c r="AL46" s="121" t="s">
        <v>138</v>
      </c>
      <c r="AM46" s="47"/>
      <c r="AN46" s="47"/>
      <c r="AO46" s="133">
        <f>AO44-AO45</f>
        <v>3480.7579934733403</v>
      </c>
      <c r="AP46" s="138"/>
      <c r="AQ46" s="133">
        <f>AQ44-AQ45</f>
        <v>-7868.7140065266522</v>
      </c>
      <c r="AR46" s="138"/>
      <c r="AS46" s="129">
        <f>AS44-AS45</f>
        <v>-9550.5818065266576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45067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224</v>
      </c>
      <c r="AD47" s="64"/>
      <c r="AE47" s="64"/>
      <c r="AF47" s="64"/>
      <c r="AG47" s="65">
        <f>AG44-SUM(AG45)</f>
        <v>14967.900850616197</v>
      </c>
      <c r="AH47" s="65">
        <f t="shared" ref="AH47:AI47" si="39">AH44-SUM(AH45)</f>
        <v>3618.4288506162038</v>
      </c>
      <c r="AI47" s="66">
        <f t="shared" si="39"/>
        <v>1936.5610506161995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53</v>
      </c>
      <c r="P48" s="36"/>
      <c r="Q48" s="45">
        <f>SUM(Q37,Q40,Q44:Q46)</f>
        <v>184410</v>
      </c>
      <c r="T48" s="109" t="s">
        <v>124</v>
      </c>
      <c r="U48" s="108"/>
      <c r="V48" s="108"/>
      <c r="W48" s="108"/>
      <c r="X48" s="112">
        <f>SUM(X31,X40)</f>
        <v>5571.4285714285716</v>
      </c>
      <c r="Y48" s="112">
        <f>SUM(Y31,Y40)</f>
        <v>5571.4285714285716</v>
      </c>
      <c r="Z48" s="118">
        <f>SUM(Z31,Z40)</f>
        <v>5571.4285714285716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240</v>
      </c>
      <c r="H49" s="3">
        <v>1</v>
      </c>
      <c r="K49" s="207" t="s">
        <v>240</v>
      </c>
      <c r="Q49" s="3">
        <v>2</v>
      </c>
      <c r="T49" s="207" t="s">
        <v>240</v>
      </c>
      <c r="Z49" s="3">
        <v>3</v>
      </c>
      <c r="AB49" s="207"/>
      <c r="AC49" s="207" t="s">
        <v>240</v>
      </c>
      <c r="AI49" s="3">
        <v>4</v>
      </c>
      <c r="AL49" s="207" t="s">
        <v>240</v>
      </c>
      <c r="AT49" s="3">
        <v>5</v>
      </c>
      <c r="AW49" s="207" t="s">
        <v>240</v>
      </c>
      <c r="BC49" s="3">
        <v>6</v>
      </c>
      <c r="BF49" s="207" t="s">
        <v>240</v>
      </c>
      <c r="BL49" s="3">
        <v>7</v>
      </c>
      <c r="BO49" s="207" t="s">
        <v>240</v>
      </c>
      <c r="BV49" s="3">
        <v>8</v>
      </c>
      <c r="BY49" s="207" t="s">
        <v>240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91</v>
      </c>
      <c r="AG52" s="90">
        <f>AG35-SUM(AG36:AG38,AG42:AG43)</f>
        <v>44209.295118372</v>
      </c>
      <c r="AH52" s="90">
        <f>AH35-SUM(AH36:AH38,AH42:AH43)</f>
        <v>51856.975118372007</v>
      </c>
      <c r="AI52" s="90">
        <f>AI35-SUM(AI36:AI38,AI42:AI43)</f>
        <v>61778.307118372002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smEbm85wajWLCGcmK4mK5xgMrXv9uB3wlkkFsfDjYnG4tJhvYI+/ObqFCHFNLgfmjnvCXFRWL7oGWNjPeqS34g==" saltValue="xt3lbppLbtQOInGdKONmA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241</v>
      </c>
    </row>
    <row r="7" spans="1:9" ht="9" customHeight="1" x14ac:dyDescent="0.3">
      <c r="A7" s="251"/>
    </row>
    <row r="8" spans="1:9" ht="15.75" x14ac:dyDescent="0.25">
      <c r="B8" s="269" t="s">
        <v>242</v>
      </c>
    </row>
    <row r="9" spans="1:9" x14ac:dyDescent="0.25">
      <c r="B9" s="1"/>
      <c r="C9" s="341" t="s">
        <v>246</v>
      </c>
      <c r="D9" s="341"/>
      <c r="E9" s="341"/>
      <c r="F9" s="341"/>
      <c r="G9" s="341"/>
      <c r="H9" s="341"/>
      <c r="I9" s="254" t="s">
        <v>233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265</v>
      </c>
    </row>
    <row r="13" spans="1:9" ht="11.95" customHeight="1" x14ac:dyDescent="0.25"/>
    <row r="14" spans="1:9" ht="13.5" customHeight="1" x14ac:dyDescent="0.3">
      <c r="B14" s="269" t="s">
        <v>267</v>
      </c>
    </row>
    <row r="15" spans="1:9" ht="16.45" customHeight="1" x14ac:dyDescent="0.25">
      <c r="C15" s="341" t="s">
        <v>266</v>
      </c>
      <c r="D15" s="341"/>
      <c r="E15" s="341"/>
      <c r="F15" s="341"/>
      <c r="G15" s="341"/>
      <c r="H15" s="341"/>
      <c r="I15" s="254" t="s">
        <v>233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243</v>
      </c>
    </row>
    <row r="20" spans="1:1" ht="15.1" x14ac:dyDescent="0.25">
      <c r="A20" s="267" t="s">
        <v>245</v>
      </c>
    </row>
    <row r="21" spans="1:1" x14ac:dyDescent="0.25">
      <c r="A21" s="268" t="s">
        <v>244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2023-05-21T08:08:49Z</dcterms:modified>
</cp:coreProperties>
</file>