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5F296D7B-1208-448A-BD91-1FB3C9115BB3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61" i="1" l="1"/>
  <c r="D61" i="1"/>
  <c r="J1" i="1" l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 s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H70" i="1" l="1"/>
  <c r="AH42" i="2" s="1"/>
  <c r="AQ24" i="2" s="1"/>
  <c r="AQ25" i="2" s="1"/>
  <c r="CF29" i="2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B147" i="1" l="1"/>
  <c r="F53" i="1"/>
  <c r="G53" i="1" s="1"/>
  <c r="G42" i="1"/>
  <c r="H42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I147" i="1" s="1"/>
  <c r="D140" i="1"/>
  <c r="H141" i="1"/>
  <c r="C141" i="1"/>
  <c r="AP17" i="2"/>
  <c r="AO13" i="2"/>
  <c r="I141" i="1"/>
  <c r="D141" i="1"/>
  <c r="D147" i="1" s="1"/>
  <c r="X48" i="2"/>
  <c r="BA11" i="2"/>
  <c r="BA36" i="2" s="1"/>
  <c r="AI14" i="2"/>
  <c r="AS15" i="2" s="1"/>
  <c r="BR24" i="2"/>
  <c r="CF24" i="2" s="1"/>
  <c r="AI10" i="2"/>
  <c r="AS13" i="2" s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C147" i="1" l="1"/>
  <c r="H147" i="1"/>
  <c r="AH40" i="2" s="1"/>
  <c r="AQ20" i="2" s="1"/>
  <c r="AR20" i="2" s="1"/>
  <c r="H53" i="1"/>
  <c r="I53" i="1" s="1"/>
  <c r="I42" i="1"/>
  <c r="J42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J53" i="1" l="1"/>
  <c r="K53" i="1" s="1"/>
  <c r="AQ16" i="2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<sst xmlns="http://schemas.openxmlformats.org/spreadsheetml/2006/main" count="451" uniqueCount="304">
  <si>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</si>
  <si>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</si>
  <si>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</si>
  <si>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</si>
  <si>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</si>
  <si>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</si>
  <si>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</si>
  <si>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</si>
  <si>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</si>
  <si>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</si>
  <si>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</si>
  <si>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</si>
  <si>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</si>
  <si>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</si>
  <si>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</si>
  <si>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</si>
  <si>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</si>
  <si>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</si>
  <si>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</si>
  <si>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</si>
  <si>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</si>
  <si>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</si>
  <si>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</si>
  <si>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</si>
  <si>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</si>
  <si>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</si>
  <si>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</si>
  <si>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</si>
  <si>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</si>
  <si>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</si>
  <si>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</si>
  <si>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</si>
  <si>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</si>
  <si>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</si>
  <si>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</si>
  <si>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</si>
  <si>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</si>
  <si>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</si>
  <si>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</si>
  <si>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</si>
  <si>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</si>
  <si>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</si>
  <si>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</si>
  <si>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</si>
  <si>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</si>
  <si>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</si>
  <si>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</si>
  <si>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</si>
  <si>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</si>
  <si>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</si>
  <si>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</si>
  <si>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</si>
  <si>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</si>
  <si>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</si>
  <si>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</si>
  <si>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</si>
  <si>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</si>
  <si>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</si>
  <si>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</si>
  <si>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</si>
  <si>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</si>
  <si>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</si>
  <si>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</si>
  <si>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</si>
  <si>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</si>
  <si>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</si>
  <si>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</si>
  <si>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</si>
  <si>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</si>
  <si>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</si>
  <si>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</si>
  <si>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</si>
  <si>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</si>
  <si>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</si>
  <si>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</si>
  <si>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</si>
  <si>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</si>
  <si>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</si>
  <si>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</si>
  <si>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</si>
  <si>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</si>
  <si>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</si>
  <si>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</si>
  <si>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</si>
  <si>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</si>
  <si>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</si>
  <si>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</si>
  <si>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</si>
  <si>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</si>
  <si>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</si>
  <si>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</si>
  <si>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</si>
  <si>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</si>
  <si>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</si>
  <si>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</si>
  <si>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</si>
  <si>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</si>
  <si>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</si>
  <si>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</si>
  <si>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</si>
  <si>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</si>
  <si>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</si>
  <si>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</si>
  <si>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</si>
  <si>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</si>
  <si>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</si>
  <si>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</si>
  <si>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</si>
  <si>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</si>
  <si>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</si>
  <si>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</si>
  <si>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</si>
  <si>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</si>
  <si>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</si>
  <si>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</si>
  <si>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</si>
  <si>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</si>
  <si>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</si>
  <si>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</si>
  <si>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</si>
  <si>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</si>
  <si>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</si>
  <si>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</si>
  <si>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</si>
  <si>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</si>
  <si>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</si>
  <si>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</si>
  <si>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</si>
  <si>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</si>
  <si>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</si>
  <si>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</si>
  <si>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</si>
  <si>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</si>
  <si>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</si>
  <si>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</si>
  <si>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</si>
  <si>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</si>
  <si>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</si>
  <si>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</si>
  <si>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</si>
  <si>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</si>
  <si>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</si>
  <si>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</si>
  <si>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</si>
  <si>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</si>
  <si>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</si>
  <si>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</si>
  <si>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</si>
  <si>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</si>
  <si>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</si>
  <si>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</si>
  <si>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</si>
  <si>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</si>
  <si>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</si>
  <si>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</si>
  <si>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</si>
  <si>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</si>
  <si>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</si>
  <si>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</si>
  <si>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</si>
  <si>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</si>
  <si>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</si>
  <si>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</si>
  <si>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</si>
  <si>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</si>
  <si>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</si>
  <si>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</si>
  <si>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</si>
  <si>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</si>
  <si>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</si>
  <si>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</si>
  <si>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</si>
  <si>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</si>
  <si>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</si>
  <si>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</si>
  <si>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</si>
  <si>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</si>
  <si>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</si>
  <si>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</si>
  <si>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</si>
  <si>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</si>
  <si>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</si>
  <si>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</si>
  <si>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</si>
  <si>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</si>
  <si>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</si>
  <si>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</si>
  <si>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</si>
  <si>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</si>
  <si>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</si>
  <si>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</si>
  <si>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</si>
  <si>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</si>
  <si>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</si>
  <si>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</si>
  <si>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</si>
  <si>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</si>
  <si>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</si>
  <si>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</si>
  <si>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</si>
  <si>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</si>
  <si>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</si>
  <si>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</si>
  <si>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</si>
  <si>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</si>
  <si>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</si>
  <si>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</si>
  <si>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</si>
  <si>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</si>
  <si>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</si>
  <si>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</si>
  <si>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</si>
  <si>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</si>
  <si>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</si>
  <si>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</si>
  <si>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</si>
  <si>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</si>
  <si>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</si>
  <si>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</si>
  <si>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</si>
  <si>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</si>
  <si>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</si>
  <si>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</si>
  <si>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</si>
  <si>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</si>
  <si>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</si>
  <si>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</si>
  <si>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</si>
  <si>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</si>
  <si>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</si>
  <si>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</si>
  <si>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</si>
  <si>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</si>
  <si>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</si>
  <si>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</si>
  <si>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</si>
  <si>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</si>
  <si>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</si>
  <si>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</si>
  <si>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</si>
  <si>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</si>
  <si>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</si>
  <si>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</si>
  <si>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</si>
  <si>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</si>
  <si>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</si>
  <si>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</si>
  <si>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</si>
  <si>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</si>
  <si>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</si>
  <si>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</si>
  <si>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</si>
  <si>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</si>
  <si>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</si>
  <si>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</si>
  <si>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</si>
  <si>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</si>
  <si>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</si>
  <si>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</si>
  <si>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</si>
  <si>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</si>
  <si>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</si>
  <si>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</si>
  <si>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</si>
  <si>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</si>
  <si>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</si>
  <si>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</si>
  <si>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</si>
  <si>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</si>
  <si>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</si>
  <si>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</si>
  <si>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</si>
  <si>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</si>
  <si>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</si>
  <si>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</si>
  <si>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</si>
  <si>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</si>
  <si>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</si>
  <si>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</si>
  <si>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</si>
  <si>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</si>
  <si>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</si>
  <si>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</si>
  <si>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</si>
  <si>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</si>
  <si>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</si>
  <si>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</si>
  <si>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</si>
  <si>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</si>
  <si>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</si>
  <si>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</si>
  <si>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</si>
  <si>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</si>
  <si>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</si>
  <si>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</si>
  <si>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</si>
  <si>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</si>
  <si>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</si>
  <si>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Notamment les formations obligatoires (hygiène…)</t>
  </si>
  <si>
    <t>Pour l'entrée dans le local commercial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</si>
  <si>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produits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</si>
  <si>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 (soins)</t>
    </r>
  </si>
  <si>
    <t>Produits professionnels</t>
  </si>
  <si>
    <t>Massage bien-être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</si>
</sst>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279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281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280</v>
      </c>
      <c r="B6" s="289"/>
      <c r="C6" s="289"/>
      <c r="G6" s="232"/>
      <c r="H6" s="292" t="s">
        <v>293</v>
      </c>
      <c r="I6" s="292"/>
      <c r="J6" t="s">
        <v>111</v>
      </c>
    </row>
    <row r="7" spans="1:14" ht="15.1" customHeight="1" x14ac:dyDescent="0.25">
      <c r="A7" s="275" t="s">
        <v>262</v>
      </c>
      <c r="B7" s="289" t="s">
        <v>303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248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117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242</v>
      </c>
      <c r="J15" t="s">
        <v>112</v>
      </c>
      <c r="K15" t="s">
        <v>115</v>
      </c>
    </row>
    <row r="16" spans="1:14" ht="15.1" x14ac:dyDescent="0.25">
      <c r="B16" s="222" t="s">
        <v>246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/>
      <c r="C17" s="5" t="s">
        <v>232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241</v>
      </c>
      <c r="G18" s="232"/>
      <c r="H18" s="232"/>
    </row>
    <row r="19" spans="1:8" ht="15.1" customHeight="1" x14ac:dyDescent="0.25">
      <c r="A19" s="276" t="s">
        <v>233</v>
      </c>
      <c r="B19" s="255">
        <v>2500</v>
      </c>
      <c r="C19" s="5" t="s">
        <v>298</v>
      </c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1000</v>
      </c>
      <c r="C24" s="5" t="s">
        <v>299</v>
      </c>
      <c r="G24" s="232"/>
      <c r="H24" s="232"/>
    </row>
    <row r="25" spans="1:8" ht="15.1" customHeight="1" x14ac:dyDescent="0.25">
      <c r="A25" s="276" t="s">
        <v>49</v>
      </c>
      <c r="B25" s="255">
        <v>250</v>
      </c>
      <c r="C25" s="5" t="s">
        <v>234</v>
      </c>
      <c r="G25" s="232"/>
      <c r="H25" s="232"/>
    </row>
    <row r="26" spans="1:8" ht="15.75" customHeight="1" x14ac:dyDescent="0.25">
      <c r="A26" s="276" t="s">
        <v>37</v>
      </c>
      <c r="B26" s="255">
        <v>600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1500</v>
      </c>
      <c r="C27" s="5" t="s">
        <v>19</v>
      </c>
    </row>
    <row r="28" spans="1:8" x14ac:dyDescent="0.25">
      <c r="A28" s="276" t="s">
        <v>72</v>
      </c>
      <c r="B28" s="255"/>
      <c r="C28" s="5" t="s">
        <v>235</v>
      </c>
    </row>
    <row r="29" spans="1:8" x14ac:dyDescent="0.25">
      <c r="A29" s="276" t="s">
        <v>38</v>
      </c>
      <c r="B29" s="255">
        <v>3000</v>
      </c>
      <c r="C29" s="5" t="s">
        <v>12</v>
      </c>
    </row>
    <row r="30" spans="1:8" x14ac:dyDescent="0.25">
      <c r="A30" s="276" t="s">
        <v>39</v>
      </c>
      <c r="B30" s="255">
        <v>1000</v>
      </c>
      <c r="C30" s="5" t="s">
        <v>13</v>
      </c>
    </row>
    <row r="31" spans="1:8" x14ac:dyDescent="0.25">
      <c r="A31" s="276" t="s">
        <v>14</v>
      </c>
      <c r="B31" s="255">
        <v>1500</v>
      </c>
      <c r="C31" s="5" t="s">
        <v>15</v>
      </c>
    </row>
    <row r="32" spans="1:8" x14ac:dyDescent="0.25">
      <c r="A32" s="276" t="s">
        <v>16</v>
      </c>
      <c r="B32" s="255">
        <v>3500</v>
      </c>
      <c r="C32" s="5" t="s">
        <v>17</v>
      </c>
    </row>
    <row r="33" spans="1:13" ht="15.25" thickBot="1" x14ac:dyDescent="0.3">
      <c r="A33" s="276" t="s">
        <v>40</v>
      </c>
      <c r="B33" s="255">
        <v>3000</v>
      </c>
      <c r="C33" s="227" t="s">
        <v>258</v>
      </c>
    </row>
    <row r="34" spans="1:13" ht="15.25" thickBot="1" x14ac:dyDescent="0.3">
      <c r="A34" s="8" t="s">
        <v>48</v>
      </c>
      <c r="B34" s="10">
        <f>SUM(B17:B33)</f>
        <v>17850</v>
      </c>
      <c r="C34" s="7"/>
    </row>
    <row r="35" spans="1:13" x14ac:dyDescent="0.25">
      <c r="C35" s="7"/>
    </row>
    <row r="36" spans="1:13" ht="15.95" x14ac:dyDescent="0.3">
      <c r="A36" s="2" t="s">
        <v>240</v>
      </c>
      <c r="C36" s="256">
        <v>5</v>
      </c>
      <c r="D36" s="3" t="s">
        <v>282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10350</v>
      </c>
      <c r="C39" s="116">
        <f t="shared" ref="C39:C54" si="0">IF(ISERROR($B39/$C$36),0,$B39/$C$36)</f>
        <v>2070</v>
      </c>
      <c r="D39" s="116">
        <f>IF($B39&gt;(SUM(C39:$C39)),IF(ISERROR($B39/$C$36),"",$B39/$C$36),0)</f>
        <v>2070</v>
      </c>
      <c r="E39" s="116">
        <f>IF($B39&gt;(SUM($C39:D39)),IF(ISERROR($B39/$C$36),"",$B39/$C$36),0)</f>
        <v>2070</v>
      </c>
      <c r="F39" s="116">
        <f>IF($B39&gt;(SUM($C39:E39)),IF(ISERROR($B39/$C$36),"",$B39/$C$36),0)</f>
        <v>2070</v>
      </c>
      <c r="G39" s="116">
        <f>IF($B39&gt;(SUM($C39:F39)),IF(ISERROR($B39/$C$36),"",$B39/$C$36),0)</f>
        <v>2070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10350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0</v>
      </c>
      <c r="C40" s="75">
        <f t="shared" si="0"/>
        <v>0</v>
      </c>
      <c r="D40" s="75">
        <f>IF($B40&gt;(SUM(C40:$C40)),IF(ISERROR($B40/$C$36),"",$B40/$C$36),0)</f>
        <v>0</v>
      </c>
      <c r="E40" s="75">
        <f>IF($B40&gt;(SUM($C40:D40)),IF(ISERROR($B40/$C$36),"",$B40/$C$36),0)</f>
        <v>0</v>
      </c>
      <c r="F40" s="75">
        <f>IF($B40&gt;(SUM($C40:E40)),IF(ISERROR($B40/$C$36),"",$B40/$C$36),0)</f>
        <v>0</v>
      </c>
      <c r="G40" s="75">
        <f>IF($B40&gt;(SUM($C40:F40)),IF(ISERROR($B40/$C$36),"",$B40/$C$36),0)</f>
        <v>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2500</v>
      </c>
      <c r="C42" s="75">
        <f t="shared" si="0"/>
        <v>500</v>
      </c>
      <c r="D42" s="75">
        <f>IF($B42&gt;(SUM(C42:$C42)),IF(ISERROR($B42/$C$36),"",$B42/$C$36),0)</f>
        <v>500</v>
      </c>
      <c r="E42" s="75">
        <f>IF($B42&gt;(SUM($C42:D42)),IF(ISERROR($B42/$C$36),"",$B42/$C$36),0)</f>
        <v>500</v>
      </c>
      <c r="F42" s="75">
        <f>IF($B42&gt;(SUM($C42:E42)),IF(ISERROR($B42/$C$36),"",$B42/$C$36),0)</f>
        <v>500</v>
      </c>
      <c r="G42" s="75">
        <f>IF($B42&gt;(SUM($C42:F42)),IF(ISERROR($B42/$C$36),"",$B42/$C$36),0)</f>
        <v>500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2500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250</v>
      </c>
      <c r="C48" s="75">
        <f t="shared" si="0"/>
        <v>50</v>
      </c>
      <c r="D48" s="75">
        <f>IF($B48&gt;(SUM(C48:$C48)),IF(ISERROR($B48/$C$36),"",$B48/$C$36),0)</f>
        <v>50</v>
      </c>
      <c r="E48" s="75">
        <f>IF($B48&gt;(SUM($C48:D48)),IF(ISERROR($B48/$C$36),"",$B48/$C$36),0)</f>
        <v>50</v>
      </c>
      <c r="F48" s="75">
        <f>IF($B48&gt;(SUM($C48:E48)),IF(ISERROR($B48/$C$36),"",$B48/$C$36),0)</f>
        <v>50</v>
      </c>
      <c r="G48" s="75">
        <f>IF($B48&gt;(SUM($C48:F48)),IF(ISERROR($B48/$C$36),"",$B48/$C$36),0)</f>
        <v>50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250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600</v>
      </c>
      <c r="C49" s="75">
        <f t="shared" si="0"/>
        <v>120</v>
      </c>
      <c r="D49" s="75">
        <f>IF($B49&gt;(SUM(C49:$C49)),IF(ISERROR($B49/$C$36),"",$B49/$C$36),0)</f>
        <v>120</v>
      </c>
      <c r="E49" s="75">
        <f>IF($B49&gt;(SUM($C49:D49)),IF(ISERROR($B49/$C$36),"",$B49/$C$36),0)</f>
        <v>120</v>
      </c>
      <c r="F49" s="75">
        <f>IF($B49&gt;(SUM($C49:E49)),IF(ISERROR($B49/$C$36),"",$B49/$C$36),0)</f>
        <v>120</v>
      </c>
      <c r="G49" s="75">
        <f>IF($B49&gt;(SUM($C49:F49)),IF(ISERROR($B49/$C$36),"",$B49/$C$36),0)</f>
        <v>120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600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1500</v>
      </c>
      <c r="C50" s="75">
        <f t="shared" si="0"/>
        <v>300</v>
      </c>
      <c r="D50" s="75">
        <f>IF($B50&gt;(SUM(C50:$C50)),IF(ISERROR($B50/$C$36),"",$B50/$C$36),0)</f>
        <v>300</v>
      </c>
      <c r="E50" s="75">
        <f>IF($B50&gt;(SUM($C50:D50)),IF(ISERROR($B50/$C$36),"",$B50/$C$36),0)</f>
        <v>300</v>
      </c>
      <c r="F50" s="75">
        <f>IF($B50&gt;(SUM($C50:E50)),IF(ISERROR($B50/$C$36),"",$B50/$C$36),0)</f>
        <v>300</v>
      </c>
      <c r="G50" s="75">
        <f>IF($B50&gt;(SUM($C50:F50)),IF(ISERROR($B50/$C$36),"",$B50/$C$36),0)</f>
        <v>300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1500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3000</v>
      </c>
      <c r="C52" s="75">
        <f t="shared" si="0"/>
        <v>600</v>
      </c>
      <c r="D52" s="75">
        <f>IF($B52&gt;(SUM(C52:$C52)),IF(ISERROR($B52/$C$36),"",$B52/$C$36),0)</f>
        <v>600</v>
      </c>
      <c r="E52" s="75">
        <f>IF($B52&gt;(SUM($C52:D52)),IF(ISERROR($B52/$C$36),"",$B52/$C$36),0)</f>
        <v>600</v>
      </c>
      <c r="F52" s="75">
        <f>IF($B52&gt;(SUM($C52:E52)),IF(ISERROR($B52/$C$36),"",$B52/$C$36),0)</f>
        <v>600</v>
      </c>
      <c r="G52" s="75">
        <f>IF($B52&gt;(SUM($C52:F52)),IF(ISERROR($B52/$C$36),"",$B52/$C$36),0)</f>
        <v>600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3000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1000</v>
      </c>
      <c r="C53" s="75">
        <f t="shared" si="0"/>
        <v>200</v>
      </c>
      <c r="D53" s="75">
        <f>IF($B53&gt;(SUM(C53:$C53)),IF(ISERROR($B53/$C$36),"",$B53/$C$36),0)</f>
        <v>200</v>
      </c>
      <c r="E53" s="75">
        <f>IF($B53&gt;(SUM($C53:D53)),IF(ISERROR($B53/$C$36),"",$B53/$C$36),0)</f>
        <v>200</v>
      </c>
      <c r="F53" s="75">
        <f>IF($B53&gt;(SUM($C53:E53)),IF(ISERROR($B53/$C$36),"",$B53/$C$36),0)</f>
        <v>200</v>
      </c>
      <c r="G53" s="75">
        <f>IF($B53&gt;(SUM($C53:F53)),IF(ISERROR($B53/$C$36),"",$B53/$C$36),0)</f>
        <v>200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1000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300</v>
      </c>
      <c r="D54" s="75">
        <f>IF($B54&gt;(SUM(C54:$C54)),IF(ISERROR($B54/$C$36),"",$B54/$C$36),0)</f>
        <v>300</v>
      </c>
      <c r="E54" s="75">
        <f>IF($B54&gt;(SUM($C54:D54)),IF(ISERROR($B54/$C$36),"",$B54/$C$36),0)</f>
        <v>300</v>
      </c>
      <c r="F54" s="75">
        <f>IF($B54&gt;(SUM($C54:E54)),IF(ISERROR($B54/$C$36),"",$B54/$C$36),0)</f>
        <v>300</v>
      </c>
      <c r="G54" s="75">
        <f>IF($B54&gt;(SUM($C54:F54)),IF(ISERROR($B54/$C$36),"",$B54/$C$36),0)</f>
        <v>300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1500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283</v>
      </c>
    </row>
    <row r="58" spans="1:13" ht="22.5" customHeight="1" x14ac:dyDescent="0.25">
      <c r="B58" s="222" t="s">
        <v>246</v>
      </c>
    </row>
    <row r="59" spans="1:13" ht="15.1" customHeight="1" x14ac:dyDescent="0.25">
      <c r="A59" s="276" t="s">
        <v>257</v>
      </c>
      <c r="B59" s="255">
        <v>10000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278</v>
      </c>
      <c r="D60" s="272" t="s">
        <v>249</v>
      </c>
      <c r="F60" s="89"/>
      <c r="G60" s="233"/>
      <c r="H60" s="233"/>
    </row>
    <row r="61" spans="1:13" ht="15.1" customHeight="1" x14ac:dyDescent="0.25">
      <c r="A61" s="277" t="s">
        <v>297</v>
      </c>
      <c r="B61" s="255">
        <f>7850</f>
        <v>7850</v>
      </c>
      <c r="C61" s="257">
        <v>0.04</v>
      </c>
      <c r="D61" s="258">
        <f>7*12</f>
        <v>84</v>
      </c>
      <c r="E61" s="89" t="s">
        <v>285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285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285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285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285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285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17850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171</v>
      </c>
      <c r="D69" s="82" t="s">
        <v>172</v>
      </c>
      <c r="E69" s="8" t="s">
        <v>173</v>
      </c>
      <c r="F69" s="8" t="s">
        <v>103</v>
      </c>
      <c r="G69" s="124" t="s">
        <v>165</v>
      </c>
      <c r="H69" s="124" t="s">
        <v>166</v>
      </c>
      <c r="I69" s="124" t="s">
        <v>167</v>
      </c>
      <c r="J69" s="124" t="s">
        <v>168</v>
      </c>
      <c r="K69" s="124" t="s">
        <v>169</v>
      </c>
      <c r="L69" s="124" t="s">
        <v>170</v>
      </c>
    </row>
    <row r="70" spans="1:12" ht="15.1" hidden="1" x14ac:dyDescent="0.25">
      <c r="A70" t="s">
        <v>50</v>
      </c>
      <c r="B70" s="80">
        <f>IF(ISERROR((PMT(C61/12,D61,B61))*-1),0,(PMT(C61/12,D61,B61))*-1)</f>
        <v>107.3001297414453</v>
      </c>
      <c r="C70" s="79">
        <f>B70*D61</f>
        <v>9013.2108982814061</v>
      </c>
      <c r="D70" s="82">
        <f>IF(ISERROR(B61/D61),0,B61/D61)</f>
        <v>93.452380952380949</v>
      </c>
      <c r="E70" s="152">
        <f>B70-D70</f>
        <v>13.847748789064354</v>
      </c>
      <c r="F70" s="80">
        <f>E70*D61</f>
        <v>1163.2108982814057</v>
      </c>
      <c r="G70" s="153">
        <f>IF($D61&gt;12,$E70*12,$E70*$D61)</f>
        <v>166.17298546877225</v>
      </c>
      <c r="H70" s="153">
        <f>IF($D61-12&lt;0,0,IF($D61&gt;24,$E70*12,($D61-12)*$E70))</f>
        <v>166.17298546877225</v>
      </c>
      <c r="I70" s="153">
        <f>IF($D61-24&lt;0,0,IF($D61&gt;36,$E70*12,($D61-24)*$E70))</f>
        <v>166.17298546877225</v>
      </c>
      <c r="J70" s="153">
        <f>IF($D61&gt;12,$D70*12,$D70*$D61)</f>
        <v>1121.4285714285713</v>
      </c>
      <c r="K70" s="153">
        <f>IF($D61-12&lt;0,0,IF($D61&gt;24,$D70*12,($D61-12)*$D70))</f>
        <v>1121.4285714285713</v>
      </c>
      <c r="L70" s="153">
        <f>IF($D61-24&lt;0,0,IF($D61&gt;36,$D70*12,($D61-24)*$D70))</f>
        <v>1121.4285714285713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166.17298546877225</v>
      </c>
      <c r="J73" s="203">
        <f t="shared" si="17"/>
        <v>1121.4285714285713</v>
      </c>
      <c r="K73" s="203">
        <f t="shared" si="17"/>
        <v>1121.4285714285713</v>
      </c>
      <c r="L73" s="203">
        <f t="shared" si="17"/>
        <v>1121.4285714285713</v>
      </c>
    </row>
    <row r="74" spans="1:12" x14ac:dyDescent="0.25">
      <c r="A74" s="4" t="s">
        <v>284</v>
      </c>
    </row>
    <row r="75" spans="1:12" x14ac:dyDescent="0.25"/>
    <row r="76" spans="1:12" x14ac:dyDescent="0.25">
      <c r="B76" s="223" t="s">
        <v>243</v>
      </c>
      <c r="C76" s="223" t="s">
        <v>244</v>
      </c>
      <c r="D76" s="223" t="s">
        <v>245</v>
      </c>
    </row>
    <row r="77" spans="1:12" x14ac:dyDescent="0.25">
      <c r="A77" s="276" t="s">
        <v>20</v>
      </c>
      <c r="B77" s="259">
        <v>350</v>
      </c>
      <c r="C77" s="260">
        <v>360</v>
      </c>
      <c r="D77" s="261">
        <v>370</v>
      </c>
    </row>
    <row r="78" spans="1:12" ht="15.1" customHeight="1" x14ac:dyDescent="0.25">
      <c r="A78" s="276" t="s">
        <v>21</v>
      </c>
      <c r="B78" s="259">
        <v>600</v>
      </c>
      <c r="C78" s="260">
        <v>650</v>
      </c>
      <c r="D78" s="261">
        <v>700</v>
      </c>
      <c r="G78" s="233"/>
      <c r="H78" s="233"/>
    </row>
    <row r="79" spans="1:12" ht="15.1" customHeight="1" x14ac:dyDescent="0.25">
      <c r="A79" s="276" t="s">
        <v>44</v>
      </c>
      <c r="B79" s="259">
        <v>60</v>
      </c>
      <c r="C79" s="260">
        <v>66</v>
      </c>
      <c r="D79" s="261">
        <v>70</v>
      </c>
      <c r="G79" s="233"/>
      <c r="H79" s="233"/>
    </row>
    <row r="80" spans="1:12" ht="15.1" customHeight="1" x14ac:dyDescent="0.25">
      <c r="A80" s="276" t="s">
        <v>261</v>
      </c>
      <c r="B80" s="259">
        <v>450</v>
      </c>
      <c r="C80" s="260">
        <v>500</v>
      </c>
      <c r="D80" s="261">
        <v>600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3500</v>
      </c>
      <c r="C82" s="260">
        <v>3700</v>
      </c>
      <c r="D82" s="261">
        <v>4000</v>
      </c>
      <c r="G82" s="233"/>
      <c r="H82" s="233"/>
    </row>
    <row r="83" spans="1:8" ht="15.1" customHeight="1" x14ac:dyDescent="0.25">
      <c r="A83" s="276" t="s">
        <v>25</v>
      </c>
      <c r="B83" s="259"/>
      <c r="C83" s="260"/>
      <c r="D83" s="261"/>
      <c r="E83" s="5"/>
      <c r="G83" s="233"/>
      <c r="H83" s="233"/>
    </row>
    <row r="84" spans="1:8" ht="15.1" customHeight="1" x14ac:dyDescent="0.25">
      <c r="A84" s="276" t="s">
        <v>26</v>
      </c>
      <c r="B84" s="259">
        <v>600</v>
      </c>
      <c r="C84" s="260">
        <v>700</v>
      </c>
      <c r="D84" s="261">
        <v>800</v>
      </c>
      <c r="E84" s="5"/>
      <c r="G84" s="233"/>
      <c r="H84" s="233"/>
    </row>
    <row r="85" spans="1:8" ht="15.1" customHeight="1" x14ac:dyDescent="0.25">
      <c r="A85" s="276" t="s">
        <v>27</v>
      </c>
      <c r="B85" s="259"/>
      <c r="C85" s="260"/>
      <c r="D85" s="261"/>
      <c r="E85" s="5"/>
      <c r="G85" s="233"/>
      <c r="H85" s="233"/>
    </row>
    <row r="86" spans="1:8" ht="15.1" customHeight="1" x14ac:dyDescent="0.25">
      <c r="A86" s="276" t="s">
        <v>28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276" t="s">
        <v>46</v>
      </c>
      <c r="B87" s="259">
        <v>1500</v>
      </c>
      <c r="C87" s="260">
        <v>1500</v>
      </c>
      <c r="D87" s="261">
        <v>1600</v>
      </c>
      <c r="E87" s="5"/>
      <c r="G87" s="233"/>
      <c r="H87" s="233"/>
    </row>
    <row r="88" spans="1:8" x14ac:dyDescent="0.25">
      <c r="A88" s="276" t="s">
        <v>29</v>
      </c>
      <c r="B88" s="259">
        <v>7000</v>
      </c>
      <c r="C88" s="260">
        <v>7200</v>
      </c>
      <c r="D88" s="261">
        <v>7400</v>
      </c>
      <c r="E88" s="5"/>
    </row>
    <row r="89" spans="1:8" x14ac:dyDescent="0.25">
      <c r="A89" s="276" t="s">
        <v>30</v>
      </c>
      <c r="B89" s="259"/>
      <c r="C89" s="260"/>
      <c r="D89" s="261"/>
      <c r="E89" s="5"/>
    </row>
    <row r="90" spans="1:8" x14ac:dyDescent="0.25">
      <c r="A90" s="276" t="s">
        <v>31</v>
      </c>
      <c r="B90" s="259">
        <v>450</v>
      </c>
      <c r="C90" s="260">
        <v>450</v>
      </c>
      <c r="D90" s="261">
        <v>470</v>
      </c>
      <c r="E90" s="5"/>
    </row>
    <row r="91" spans="1:8" x14ac:dyDescent="0.25">
      <c r="A91" s="276" t="s">
        <v>45</v>
      </c>
      <c r="B91" s="259"/>
      <c r="C91" s="260">
        <v>700</v>
      </c>
      <c r="D91" s="261">
        <v>740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302</v>
      </c>
      <c r="B93" s="259">
        <v>800</v>
      </c>
      <c r="C93" s="260">
        <v>850</v>
      </c>
      <c r="D93" s="261">
        <v>900</v>
      </c>
      <c r="E93" s="89"/>
    </row>
    <row r="94" spans="1:8" x14ac:dyDescent="0.25">
      <c r="A94" s="278"/>
      <c r="B94" s="259"/>
      <c r="C94" s="260"/>
      <c r="D94" s="261"/>
      <c r="E94" s="89"/>
    </row>
    <row r="95" spans="1:8" x14ac:dyDescent="0.25">
      <c r="A95" s="278"/>
      <c r="B95" s="259"/>
      <c r="C95" s="260"/>
      <c r="D95" s="261"/>
      <c r="E95" s="89"/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15310</v>
      </c>
      <c r="C97" s="10">
        <f>SUM(C77:C95)</f>
        <v>16676</v>
      </c>
      <c r="D97" s="10">
        <f>SUM(D77:D95)</f>
        <v>17650</v>
      </c>
    </row>
    <row r="98" spans="1:9" x14ac:dyDescent="0.25"/>
    <row r="99" spans="1:9" ht="24.1" customHeight="1" x14ac:dyDescent="0.3">
      <c r="A99" s="270" t="s">
        <v>120</v>
      </c>
    </row>
    <row r="100" spans="1:9" ht="19.600000000000001" customHeight="1" x14ac:dyDescent="0.25">
      <c r="A100" s="4" t="s">
        <v>289</v>
      </c>
    </row>
    <row r="101" spans="1:9" x14ac:dyDescent="0.25"/>
    <row r="102" spans="1:9" ht="29.1" x14ac:dyDescent="0.25">
      <c r="A102" s="91" t="s">
        <v>300</v>
      </c>
      <c r="B102" s="11" t="s">
        <v>53</v>
      </c>
      <c r="C102" s="11" t="s">
        <v>54</v>
      </c>
      <c r="D102" s="11" t="s">
        <v>55</v>
      </c>
      <c r="F102" s="204" t="s">
        <v>301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208</v>
      </c>
      <c r="B103" s="262">
        <v>22</v>
      </c>
      <c r="C103" s="255">
        <v>15</v>
      </c>
      <c r="D103" s="12">
        <f>B103*C103</f>
        <v>330</v>
      </c>
      <c r="F103" s="281" t="s">
        <v>208</v>
      </c>
      <c r="G103" s="262">
        <v>22</v>
      </c>
      <c r="H103" s="255">
        <v>150</v>
      </c>
      <c r="I103" s="12">
        <f>G103*H103</f>
        <v>3300</v>
      </c>
    </row>
    <row r="104" spans="1:9" x14ac:dyDescent="0.25">
      <c r="A104" s="279" t="s">
        <v>209</v>
      </c>
      <c r="B104" s="262">
        <v>22</v>
      </c>
      <c r="C104" s="255">
        <v>18</v>
      </c>
      <c r="D104" s="12">
        <f t="shared" ref="D104:D114" si="18">B104*C104</f>
        <v>396</v>
      </c>
      <c r="F104" s="282" t="s">
        <v>209</v>
      </c>
      <c r="G104" s="262">
        <v>22</v>
      </c>
      <c r="H104" s="255">
        <v>160</v>
      </c>
      <c r="I104" s="12">
        <f t="shared" ref="I104:I114" si="19">G104*H104</f>
        <v>3520</v>
      </c>
    </row>
    <row r="105" spans="1:9" x14ac:dyDescent="0.25">
      <c r="A105" s="279" t="s">
        <v>210</v>
      </c>
      <c r="B105" s="262">
        <v>22</v>
      </c>
      <c r="C105" s="255">
        <v>21</v>
      </c>
      <c r="D105" s="12">
        <f t="shared" si="18"/>
        <v>462</v>
      </c>
      <c r="F105" s="282" t="s">
        <v>210</v>
      </c>
      <c r="G105" s="262">
        <v>22</v>
      </c>
      <c r="H105" s="255">
        <v>170</v>
      </c>
      <c r="I105" s="12">
        <f t="shared" si="19"/>
        <v>3740</v>
      </c>
    </row>
    <row r="106" spans="1:9" x14ac:dyDescent="0.25">
      <c r="A106" s="279" t="s">
        <v>215</v>
      </c>
      <c r="B106" s="262">
        <v>20</v>
      </c>
      <c r="C106" s="255">
        <v>24</v>
      </c>
      <c r="D106" s="12">
        <f t="shared" si="18"/>
        <v>480</v>
      </c>
      <c r="F106" s="282" t="s">
        <v>215</v>
      </c>
      <c r="G106" s="262">
        <v>20</v>
      </c>
      <c r="H106" s="255">
        <v>180</v>
      </c>
      <c r="I106" s="12">
        <f t="shared" si="19"/>
        <v>3600</v>
      </c>
    </row>
    <row r="107" spans="1:9" x14ac:dyDescent="0.25">
      <c r="A107" s="279" t="s">
        <v>217</v>
      </c>
      <c r="B107" s="262">
        <v>22</v>
      </c>
      <c r="C107" s="255">
        <v>27</v>
      </c>
      <c r="D107" s="12">
        <f t="shared" si="18"/>
        <v>594</v>
      </c>
      <c r="F107" s="282" t="s">
        <v>217</v>
      </c>
      <c r="G107" s="262">
        <v>22</v>
      </c>
      <c r="H107" s="255">
        <v>190</v>
      </c>
      <c r="I107" s="12">
        <f t="shared" si="19"/>
        <v>4180</v>
      </c>
    </row>
    <row r="108" spans="1:9" x14ac:dyDescent="0.25">
      <c r="A108" s="279" t="s">
        <v>218</v>
      </c>
      <c r="B108" s="262">
        <v>22</v>
      </c>
      <c r="C108" s="255">
        <v>30</v>
      </c>
      <c r="D108" s="12">
        <f t="shared" si="18"/>
        <v>660</v>
      </c>
      <c r="F108" s="282" t="s">
        <v>218</v>
      </c>
      <c r="G108" s="262">
        <v>22</v>
      </c>
      <c r="H108" s="255">
        <v>200</v>
      </c>
      <c r="I108" s="12">
        <f t="shared" si="19"/>
        <v>4400</v>
      </c>
    </row>
    <row r="109" spans="1:9" x14ac:dyDescent="0.25">
      <c r="A109" s="279" t="s">
        <v>219</v>
      </c>
      <c r="B109" s="262">
        <v>22</v>
      </c>
      <c r="C109" s="255">
        <v>33</v>
      </c>
      <c r="D109" s="12">
        <f t="shared" si="18"/>
        <v>726</v>
      </c>
      <c r="F109" s="282" t="s">
        <v>219</v>
      </c>
      <c r="G109" s="262">
        <v>22</v>
      </c>
      <c r="H109" s="255">
        <v>210</v>
      </c>
      <c r="I109" s="12">
        <f t="shared" si="19"/>
        <v>4620</v>
      </c>
    </row>
    <row r="110" spans="1:9" x14ac:dyDescent="0.25">
      <c r="A110" s="279" t="s">
        <v>220</v>
      </c>
      <c r="B110" s="262">
        <v>15</v>
      </c>
      <c r="C110" s="255">
        <v>36</v>
      </c>
      <c r="D110" s="12">
        <f t="shared" si="18"/>
        <v>540</v>
      </c>
      <c r="F110" s="282" t="s">
        <v>220</v>
      </c>
      <c r="G110" s="262">
        <v>15</v>
      </c>
      <c r="H110" s="255">
        <v>220</v>
      </c>
      <c r="I110" s="12">
        <f t="shared" si="19"/>
        <v>3300</v>
      </c>
    </row>
    <row r="111" spans="1:9" x14ac:dyDescent="0.25">
      <c r="A111" s="279" t="s">
        <v>221</v>
      </c>
      <c r="B111" s="262">
        <v>22</v>
      </c>
      <c r="C111" s="255">
        <v>39</v>
      </c>
      <c r="D111" s="12">
        <f t="shared" si="18"/>
        <v>858</v>
      </c>
      <c r="F111" s="282" t="s">
        <v>221</v>
      </c>
      <c r="G111" s="262">
        <v>22</v>
      </c>
      <c r="H111" s="255">
        <v>230</v>
      </c>
      <c r="I111" s="12">
        <f t="shared" si="19"/>
        <v>5060</v>
      </c>
    </row>
    <row r="112" spans="1:9" x14ac:dyDescent="0.25">
      <c r="A112" s="279" t="s">
        <v>222</v>
      </c>
      <c r="B112" s="262">
        <v>15</v>
      </c>
      <c r="C112" s="255">
        <v>42</v>
      </c>
      <c r="D112" s="12">
        <f t="shared" si="18"/>
        <v>630</v>
      </c>
      <c r="F112" s="282" t="s">
        <v>222</v>
      </c>
      <c r="G112" s="262">
        <v>15</v>
      </c>
      <c r="H112" s="255">
        <v>240</v>
      </c>
      <c r="I112" s="12">
        <f t="shared" si="19"/>
        <v>3600</v>
      </c>
    </row>
    <row r="113" spans="1:9" x14ac:dyDescent="0.25">
      <c r="A113" s="279" t="s">
        <v>223</v>
      </c>
      <c r="B113" s="262">
        <v>22</v>
      </c>
      <c r="C113" s="255">
        <v>45</v>
      </c>
      <c r="D113" s="12">
        <f t="shared" si="18"/>
        <v>990</v>
      </c>
      <c r="F113" s="282" t="s">
        <v>223</v>
      </c>
      <c r="G113" s="262">
        <v>22</v>
      </c>
      <c r="H113" s="255">
        <v>250</v>
      </c>
      <c r="I113" s="12">
        <f t="shared" si="19"/>
        <v>5500</v>
      </c>
    </row>
    <row r="114" spans="1:9" ht="15.25" thickBot="1" x14ac:dyDescent="0.3">
      <c r="A114" s="279" t="s">
        <v>224</v>
      </c>
      <c r="B114" s="262">
        <v>20</v>
      </c>
      <c r="C114" s="255">
        <v>48</v>
      </c>
      <c r="D114" s="12">
        <f t="shared" si="18"/>
        <v>960</v>
      </c>
      <c r="F114" s="282" t="s">
        <v>224</v>
      </c>
      <c r="G114" s="262">
        <v>20</v>
      </c>
      <c r="H114" s="255">
        <v>260</v>
      </c>
      <c r="I114" s="12">
        <f t="shared" si="19"/>
        <v>5200</v>
      </c>
    </row>
    <row r="115" spans="1:9" ht="15.25" thickBot="1" x14ac:dyDescent="0.3">
      <c r="A115" s="14" t="s">
        <v>48</v>
      </c>
      <c r="D115" s="13">
        <f>SUM(D103:D114)</f>
        <v>7626</v>
      </c>
      <c r="F115" s="205" t="s">
        <v>48</v>
      </c>
      <c r="I115" s="13">
        <f>SUM(I103:I114)</f>
        <v>50020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0.15</v>
      </c>
      <c r="F117" s="206" t="s">
        <v>119</v>
      </c>
      <c r="I117" s="263">
        <v>0.15</v>
      </c>
    </row>
    <row r="118" spans="1:9" ht="15.95" x14ac:dyDescent="0.3">
      <c r="A118" s="2" t="s">
        <v>57</v>
      </c>
      <c r="D118" s="263">
        <v>0.1</v>
      </c>
      <c r="F118" s="206" t="s">
        <v>118</v>
      </c>
      <c r="I118" s="263">
        <v>0.1</v>
      </c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182</v>
      </c>
      <c r="D123" s="264">
        <v>0.45</v>
      </c>
      <c r="E123" s="160" t="s">
        <v>183</v>
      </c>
    </row>
    <row r="124" spans="1:9" x14ac:dyDescent="0.25">
      <c r="D124" s="285" t="s">
        <v>286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254</v>
      </c>
      <c r="D127" s="265">
        <v>0</v>
      </c>
      <c r="E127" s="160" t="s">
        <v>287</v>
      </c>
      <c r="G127" s="252"/>
      <c r="H127" s="252"/>
    </row>
    <row r="128" spans="1:9" ht="15.75" customHeight="1" x14ac:dyDescent="0.3">
      <c r="A128" s="19"/>
      <c r="C128" s="124" t="s">
        <v>255</v>
      </c>
      <c r="D128" s="265">
        <v>30</v>
      </c>
      <c r="E128" s="160" t="s">
        <v>288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250</v>
      </c>
      <c r="B133" s="259"/>
      <c r="C133" s="260"/>
      <c r="D133" s="261"/>
      <c r="E133" s="207" t="s">
        <v>236</v>
      </c>
      <c r="G133" s="252"/>
      <c r="H133" s="252"/>
    </row>
    <row r="134" spans="1:9" ht="15.1" customHeight="1" x14ac:dyDescent="0.25">
      <c r="A134" s="283" t="s">
        <v>251</v>
      </c>
      <c r="B134" s="259">
        <v>26000</v>
      </c>
      <c r="C134" s="260">
        <v>28000</v>
      </c>
      <c r="D134" s="261">
        <v>31000</v>
      </c>
      <c r="E134" s="207" t="s">
        <v>236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266</v>
      </c>
      <c r="C136" s="266" t="s">
        <v>88</v>
      </c>
      <c r="D136" s="94" t="s">
        <v>290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267</v>
      </c>
      <c r="B138" s="9" t="s">
        <v>41</v>
      </c>
      <c r="C138" s="9" t="s">
        <v>42</v>
      </c>
      <c r="D138" s="9" t="s">
        <v>43</v>
      </c>
      <c r="F138" s="1" t="s">
        <v>268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90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960.87599999999998</v>
      </c>
      <c r="C140" s="71">
        <f>+'Plan financier à imprimer'!AH11*12.6%</f>
        <v>1105.0074</v>
      </c>
      <c r="D140" s="71">
        <f>+'Plan financier à imprimer'!AI11*12.6%</f>
        <v>1215.5081399999999</v>
      </c>
      <c r="E140" s="93" t="s">
        <v>130</v>
      </c>
      <c r="F140" t="s">
        <v>1</v>
      </c>
      <c r="G140" s="245">
        <f>+'Plan financier à imprimer'!AG11*6.3%</f>
        <v>480.43799999999999</v>
      </c>
      <c r="H140" s="247">
        <f>+'Plan financier à imprimer'!AH11*12.6%</f>
        <v>1105.0074</v>
      </c>
      <c r="I140" s="71">
        <f>+'Plan financier à imprimer'!AI11*12.6%</f>
        <v>1215.5081399999999</v>
      </c>
    </row>
    <row r="141" spans="1:9" ht="15.1" hidden="1" customHeight="1" x14ac:dyDescent="0.25">
      <c r="A141" t="s">
        <v>1</v>
      </c>
      <c r="B141" s="71">
        <f>+'Plan financier à imprimer'!AG12*21.9%</f>
        <v>10954.38</v>
      </c>
      <c r="C141" s="71">
        <f>+'Plan financier à imprimer'!AH12*21.9%</f>
        <v>12597.536999999998</v>
      </c>
      <c r="D141" s="71">
        <f>+'Plan financier à imprimer'!AI12*21.9%</f>
        <v>13857.2907</v>
      </c>
      <c r="E141" s="93" t="s">
        <v>131</v>
      </c>
      <c r="F141" t="s">
        <v>1</v>
      </c>
      <c r="G141" s="245">
        <f>+'Plan financier à imprimer'!AG12*11%</f>
        <v>5502.2</v>
      </c>
      <c r="H141" s="247">
        <f>+'Plan financier à imprimer'!AH12*21.9%</f>
        <v>12597.536999999998</v>
      </c>
      <c r="I141" s="71">
        <f>+'Plan financier à imprimer'!AI12*21.9%</f>
        <v>13857.2907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11000.438104359369</v>
      </c>
      <c r="C142" s="71">
        <f>IF('Plan financier à imprimer'!AH52*30%&lt;3456,3456,'Plan financier à imprimer'!AH52*30%)</f>
        <v>13030.281604359365</v>
      </c>
      <c r="D142" s="71">
        <f>IF('Plan financier à imprimer'!AI52*30%&lt;3456,3456,'Plan financier à imprimer'!AI52*30%)</f>
        <v>14608.474954359368</v>
      </c>
      <c r="F142" t="s">
        <v>110</v>
      </c>
      <c r="G142" s="245">
        <v>1305</v>
      </c>
      <c r="H142" s="248">
        <f>IF('Plan financier à imprimer'!AH52*32%&lt;3456,3456,'Plan financier à imprimer'!AH52*32%)</f>
        <v>13898.967044649991</v>
      </c>
      <c r="I142" s="72">
        <f>IF('Plan financier à imprimer'!AI52*32%&lt;3456,3456,'Plan financier à imprimer'!AI52*32%)</f>
        <v>15582.373284649993</v>
      </c>
    </row>
    <row r="143" spans="1:9" ht="15.75" hidden="1" customHeight="1" x14ac:dyDescent="0.25">
      <c r="A143" t="s">
        <v>109</v>
      </c>
      <c r="B143" s="71">
        <f>IF(B134*45%&lt;3456,3456,B134*45%)</f>
        <v>11700</v>
      </c>
      <c r="C143" s="71">
        <f>IF(C134*45%&lt;3456,3456,C134*45%)</f>
        <v>12600</v>
      </c>
      <c r="D143" s="71">
        <f>IF(D134*45%&lt;3456,3456,D134*45%)</f>
        <v>13950</v>
      </c>
      <c r="F143" t="s">
        <v>109</v>
      </c>
      <c r="G143" s="245">
        <v>1305</v>
      </c>
      <c r="H143" s="248">
        <f>IF(C134*45%&lt;3456,3456,C134*45%)</f>
        <v>12600</v>
      </c>
      <c r="I143" s="72">
        <f>IF(D134*45%&lt;3456,3456,D134*45%)</f>
        <v>13950</v>
      </c>
    </row>
    <row r="144" spans="1:9" ht="15.1" hidden="1" x14ac:dyDescent="0.25">
      <c r="A144" t="s">
        <v>111</v>
      </c>
      <c r="B144" s="71">
        <f>IF(B134*45%&lt;3456,3456,B134*45%)</f>
        <v>11700</v>
      </c>
      <c r="C144" s="71">
        <f>IF(C134*45%&lt;3456,3456,C134*45%)</f>
        <v>12600</v>
      </c>
      <c r="D144" s="71">
        <f>IF(D134*45%&lt;3456,3456,D134*45%)</f>
        <v>13950</v>
      </c>
      <c r="F144" t="s">
        <v>111</v>
      </c>
      <c r="G144" s="245">
        <v>1305</v>
      </c>
      <c r="H144" s="248">
        <f>IF(C134*45%&lt;3456,3456,C134*45%)</f>
        <v>12600</v>
      </c>
      <c r="I144" s="72">
        <f>IF(D134*45%&lt;3456,3456,D134*45%)</f>
        <v>13950</v>
      </c>
    </row>
    <row r="145" spans="1:9" ht="15.1" hidden="1" x14ac:dyDescent="0.25">
      <c r="A145" t="s">
        <v>112</v>
      </c>
      <c r="B145" s="71">
        <f>B134*70%</f>
        <v>18200</v>
      </c>
      <c r="C145" s="71">
        <f t="shared" ref="C145:D145" si="20">C134*70%</f>
        <v>19600</v>
      </c>
      <c r="D145" s="71">
        <f t="shared" si="20"/>
        <v>21700</v>
      </c>
      <c r="F145" t="s">
        <v>112</v>
      </c>
      <c r="G145" s="245">
        <f>B134*33%</f>
        <v>8580</v>
      </c>
      <c r="H145" s="245">
        <f>C134*70%</f>
        <v>19600</v>
      </c>
      <c r="I145" s="245">
        <f>D134*70%</f>
        <v>21700</v>
      </c>
    </row>
    <row r="146" spans="1:9" ht="15.1" hidden="1" x14ac:dyDescent="0.25">
      <c r="A146" t="s">
        <v>113</v>
      </c>
      <c r="B146" s="71">
        <f>B134*70%</f>
        <v>18200</v>
      </c>
      <c r="C146" s="71">
        <f t="shared" ref="C146:D146" si="21">C134*70%</f>
        <v>19600</v>
      </c>
      <c r="D146" s="71">
        <f t="shared" si="21"/>
        <v>21700</v>
      </c>
      <c r="F146" t="s">
        <v>113</v>
      </c>
      <c r="G146" s="245">
        <f>B134*33%</f>
        <v>8580</v>
      </c>
      <c r="H146" s="245">
        <f>C134*70%</f>
        <v>19600</v>
      </c>
      <c r="I146" s="245">
        <f>D134*70%</f>
        <v>21700</v>
      </c>
    </row>
    <row r="147" spans="1:9" ht="15.1" hidden="1" x14ac:dyDescent="0.25">
      <c r="A147" s="1" t="s">
        <v>108</v>
      </c>
      <c r="B147" s="73">
        <f>SUMIF($A$140:$A$146,$B$8,B140:B146)</f>
        <v>11915.255999999999</v>
      </c>
      <c r="C147" s="73">
        <f>SUMIF($A$140:$A$146,$B$8,C140:C146)</f>
        <v>13702.544399999999</v>
      </c>
      <c r="D147" s="73">
        <f>SUMIF($A$140:$A$146,$B$8,D140:D146)</f>
        <v>15072.798839999999</v>
      </c>
      <c r="F147" s="1" t="s">
        <v>108</v>
      </c>
      <c r="G147" s="245">
        <f>SUMIF($A$140:$A$146,$B$8,G140:G146)</f>
        <v>5982.6379999999999</v>
      </c>
      <c r="H147" s="246">
        <f>SUMIF($A$140:$A$146,$B$8,H140:H146)</f>
        <v>13702.544399999999</v>
      </c>
      <c r="I147" s="246">
        <f>SUMIF($A$140:$A$146,$B$8,I140:I146)</f>
        <v>15072.798839999999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291</v>
      </c>
      <c r="G149" s="252"/>
      <c r="H149" s="252"/>
    </row>
    <row r="150" spans="1:9" ht="15.75" customHeight="1" thickBot="1" x14ac:dyDescent="0.3">
      <c r="D150" s="222" t="s">
        <v>252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292</v>
      </c>
      <c r="E153" s="171"/>
      <c r="G153" s="252"/>
      <c r="H153" s="252"/>
    </row>
    <row r="154" spans="1:9" ht="15.75" customHeight="1" thickBot="1" x14ac:dyDescent="0.3">
      <c r="D154" s="222" t="s">
        <v>252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277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jnNPoftNy56gQoGNhOYKQ9YOLnQBw+R4QQO77pLzC/8/Y2mucAdrD/k1aWxYEUFt9sTGp8Dv/mMA4fY4SGoi5Q==" saltValue="mJ9qKsMzOVZW90ZLbxTeWg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133</v>
      </c>
      <c r="L2" s="303"/>
      <c r="M2" s="303"/>
      <c r="N2" s="303"/>
      <c r="O2" s="303"/>
      <c r="P2" s="303"/>
      <c r="Q2" s="304"/>
      <c r="T2" s="302" t="s">
        <v>138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150</v>
      </c>
      <c r="AM2" s="303"/>
      <c r="AN2" s="303"/>
      <c r="AO2" s="303"/>
      <c r="AP2" s="303"/>
      <c r="AQ2" s="303"/>
      <c r="AR2" s="303"/>
      <c r="AS2" s="303"/>
      <c r="AT2" s="304"/>
      <c r="AW2" s="302" t="s">
        <v>174</v>
      </c>
      <c r="AX2" s="303"/>
      <c r="AY2" s="303"/>
      <c r="AZ2" s="303"/>
      <c r="BA2" s="303"/>
      <c r="BB2" s="303"/>
      <c r="BC2" s="304"/>
      <c r="BF2" s="302" t="s">
        <v>191</v>
      </c>
      <c r="BG2" s="303"/>
      <c r="BH2" s="303"/>
      <c r="BI2" s="303"/>
      <c r="BJ2" s="303"/>
      <c r="BK2" s="303"/>
      <c r="BL2" s="304"/>
      <c r="BO2" s="302" t="s">
        <v>207</v>
      </c>
      <c r="BP2" s="303"/>
      <c r="BQ2" s="303"/>
      <c r="BR2" s="303"/>
      <c r="BS2" s="303"/>
      <c r="BT2" s="303"/>
      <c r="BU2" s="303"/>
      <c r="BV2" s="304"/>
      <c r="BY2" s="302" t="s">
        <v>216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Massage bien-être</v>
      </c>
      <c r="T6" s="1" t="s">
        <v>68</v>
      </c>
      <c r="V6" s="3" t="str">
        <f>IF(ISBLANK('Données à saisir'!$B7),"",('Données à saisir'!$B7))</f>
        <v>Massage bien-être</v>
      </c>
      <c r="AC6" s="1" t="s">
        <v>68</v>
      </c>
      <c r="AE6" s="3" t="str">
        <f>IF(ISBLANK('Données à saisir'!$B7),"",('Données à saisir'!$B7))</f>
        <v>Massage bien-être</v>
      </c>
      <c r="AL6" s="1" t="s">
        <v>68</v>
      </c>
      <c r="AN6" s="3" t="str">
        <f>IF(ISBLANK('Données à saisir'!$B7),"",('Données à saisir'!$B7))</f>
        <v>Massage bien-être</v>
      </c>
      <c r="AW6" s="1" t="s">
        <v>68</v>
      </c>
      <c r="AY6" s="3" t="str">
        <f>IF(ISBLANK('Données à saisir'!$B7),"",('Données à saisir'!$B7))</f>
        <v>Massage bien-être</v>
      </c>
      <c r="BF6" s="1" t="s">
        <v>68</v>
      </c>
      <c r="BH6" s="3" t="str">
        <f>IF(ISBLANK('Données à saisir'!$B7),"",('Données à saisir'!$B7))</f>
        <v>Massage bien-être</v>
      </c>
      <c r="BO6" s="1" t="s">
        <v>68</v>
      </c>
      <c r="BQ6" s="3" t="str">
        <f>IF(ISBLANK('Données à saisir'!$B7),"",('Données à saisir'!$B7))</f>
        <v>Massage bien-être</v>
      </c>
      <c r="BV6" s="193" t="s">
        <v>214</v>
      </c>
      <c r="BY6" s="1" t="s">
        <v>68</v>
      </c>
      <c r="CA6" s="3" t="str">
        <f>IF(ISBLANK('Données à saisir'!$B7),"",('Données à saisir'!$B7))</f>
        <v>Massage bien-être</v>
      </c>
      <c r="CF6" s="193" t="s">
        <v>214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269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134</v>
      </c>
      <c r="L9" s="316"/>
      <c r="M9" s="316"/>
      <c r="N9" s="316"/>
      <c r="O9" s="316"/>
      <c r="P9" s="316"/>
      <c r="Q9" s="313" t="s">
        <v>74</v>
      </c>
      <c r="U9" s="1" t="s">
        <v>139</v>
      </c>
      <c r="X9" t="str">
        <f>C33</f>
        <v>Micro-entreprise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265</v>
      </c>
      <c r="X10" t="str">
        <f>IF(ISBLANK('Données à saisir'!C136),"",'Données à saisir'!C136)</f>
        <v>Oui</v>
      </c>
      <c r="AC10" s="51" t="s">
        <v>123</v>
      </c>
      <c r="AD10" s="52"/>
      <c r="AE10" s="52"/>
      <c r="AF10" s="52"/>
      <c r="AG10" s="60">
        <f>SUM(AG11:AG12)</f>
        <v>57646</v>
      </c>
      <c r="AH10" s="60">
        <f t="shared" ref="AH10:AI10" si="0">SUM(AH11:AH12)</f>
        <v>66292.899999999994</v>
      </c>
      <c r="AI10" s="226">
        <f t="shared" si="0"/>
        <v>72922.19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145</v>
      </c>
      <c r="X11" t="str">
        <f>IF(X9="sas (is)","Assimilé-salarié",IF(X9="sasu (is)","Assimilé-salarié","Travailleur non salarié"))</f>
        <v>Travailleur non salarié</v>
      </c>
      <c r="AC11" s="44" t="s">
        <v>121</v>
      </c>
      <c r="AG11" s="62">
        <f>'Données à saisir'!D115</f>
        <v>7626</v>
      </c>
      <c r="AH11" s="62">
        <f>AG11+AG11*'Données à saisir'!D117</f>
        <v>8769.9</v>
      </c>
      <c r="AI11" s="54">
        <f>AH11+AH11*'Données à saisir'!D118</f>
        <v>9646.89</v>
      </c>
      <c r="AO11" s="321" t="s">
        <v>41</v>
      </c>
      <c r="AP11" s="323" t="s">
        <v>164</v>
      </c>
      <c r="AQ11" s="323" t="s">
        <v>42</v>
      </c>
      <c r="AR11" s="323" t="s">
        <v>164</v>
      </c>
      <c r="AS11" s="323" t="s">
        <v>43</v>
      </c>
      <c r="AT11" s="311" t="s">
        <v>164</v>
      </c>
      <c r="AW11" s="51" t="s">
        <v>192</v>
      </c>
      <c r="AX11" s="52"/>
      <c r="AY11" s="52"/>
      <c r="AZ11" s="52"/>
      <c r="BA11" s="60">
        <f>AG10</f>
        <v>57646</v>
      </c>
      <c r="BB11" s="60">
        <f>AH10</f>
        <v>66292.899999999994</v>
      </c>
      <c r="BC11" s="226">
        <f>AI10</f>
        <v>72922.19</v>
      </c>
      <c r="BO11" s="214" t="s">
        <v>239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4350</v>
      </c>
      <c r="AC12" s="44" t="s">
        <v>122</v>
      </c>
      <c r="AG12" s="62">
        <f>'Données à saisir'!I115</f>
        <v>50020</v>
      </c>
      <c r="AH12" s="62">
        <f>AG12+AG12*'Données à saisir'!I117</f>
        <v>57523</v>
      </c>
      <c r="AI12" s="54">
        <f>AH12+AH12*'Données à saisir'!I118</f>
        <v>63275.3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3431.7000000000003</v>
      </c>
      <c r="BB12" s="104">
        <f>AQ15</f>
        <v>3946.4549999999999</v>
      </c>
      <c r="BC12" s="120">
        <f>AS15</f>
        <v>4341.1004999999996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 t="str">
        <f>IF(ISBLANK('Données à saisir'!B17),"",'Données à saisir'!B17)</f>
        <v/>
      </c>
      <c r="X13" s="85" t="s">
        <v>41</v>
      </c>
      <c r="Y13" s="87" t="s">
        <v>42</v>
      </c>
      <c r="Z13" s="83" t="s">
        <v>43</v>
      </c>
      <c r="AC13" s="37" t="s">
        <v>124</v>
      </c>
      <c r="AG13" s="57">
        <f>AG14</f>
        <v>3431.7000000000003</v>
      </c>
      <c r="AH13" s="57">
        <f>AH14</f>
        <v>3946.4549999999999</v>
      </c>
      <c r="AI13" s="53">
        <f>AI14</f>
        <v>4341.1004999999996</v>
      </c>
      <c r="AL13" s="107" t="s">
        <v>151</v>
      </c>
      <c r="AM13" s="34"/>
      <c r="AN13" s="34"/>
      <c r="AO13" s="119">
        <f>AG10</f>
        <v>57646</v>
      </c>
      <c r="AP13" s="139">
        <v>1</v>
      </c>
      <c r="AQ13" s="119">
        <f>AH10</f>
        <v>66292.899999999994</v>
      </c>
      <c r="AR13" s="140">
        <v>1</v>
      </c>
      <c r="AS13" s="119">
        <f>AI10</f>
        <v>72922.19</v>
      </c>
      <c r="AT13" s="141">
        <v>1</v>
      </c>
      <c r="AW13" s="123" t="s">
        <v>175</v>
      </c>
      <c r="BA13" s="104">
        <f>BA12</f>
        <v>3431.7000000000003</v>
      </c>
      <c r="BB13" s="104">
        <f t="shared" ref="BB13:BC13" si="1">BB12</f>
        <v>3946.4549999999999</v>
      </c>
      <c r="BC13" s="120">
        <f t="shared" si="1"/>
        <v>4341.1004999999996</v>
      </c>
      <c r="BF13" s="50"/>
      <c r="BJ13" s="335"/>
      <c r="BK13" s="324"/>
      <c r="BL13" s="337"/>
      <c r="BR13" s="334" t="s">
        <v>208</v>
      </c>
      <c r="BS13" s="323" t="s">
        <v>209</v>
      </c>
      <c r="BT13" s="323" t="s">
        <v>210</v>
      </c>
      <c r="BU13" s="323" t="s">
        <v>215</v>
      </c>
      <c r="BV13" s="336" t="s">
        <v>217</v>
      </c>
      <c r="BY13" s="334" t="s">
        <v>218</v>
      </c>
      <c r="BZ13" s="323" t="s">
        <v>219</v>
      </c>
      <c r="CA13" s="323" t="s">
        <v>220</v>
      </c>
      <c r="CB13" s="323" t="s">
        <v>221</v>
      </c>
      <c r="CC13" s="323" t="s">
        <v>222</v>
      </c>
      <c r="CD13" s="323" t="s">
        <v>223</v>
      </c>
      <c r="CE13" s="331" t="s">
        <v>224</v>
      </c>
      <c r="CF13" s="339" t="s">
        <v>48</v>
      </c>
    </row>
    <row r="14" spans="2:84" ht="15.1" customHeight="1" x14ac:dyDescent="0.25">
      <c r="B14" s="299" t="s">
        <v>247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3431.7000000000003</v>
      </c>
      <c r="AH14" s="62">
        <f>'Données à saisir'!$D$123*'Plan financier à imprimer'!AH11</f>
        <v>3946.4549999999999</v>
      </c>
      <c r="AI14" s="54">
        <f>'Données à saisir'!$D$123*'Plan financier à imprimer'!AI11</f>
        <v>4341.1004999999996</v>
      </c>
      <c r="AL14" s="38" t="s">
        <v>152</v>
      </c>
      <c r="AO14" s="104">
        <f>AG10</f>
        <v>57646</v>
      </c>
      <c r="AP14" s="142">
        <v>1</v>
      </c>
      <c r="AQ14" s="104">
        <f>AH10</f>
        <v>66292.899999999994</v>
      </c>
      <c r="AR14" s="143">
        <v>1</v>
      </c>
      <c r="AS14" s="104">
        <f>AI10</f>
        <v>72922.19</v>
      </c>
      <c r="AT14" s="144">
        <v>1</v>
      </c>
      <c r="AW14" s="123" t="s">
        <v>176</v>
      </c>
      <c r="BA14" s="57">
        <f>BA11-BA13</f>
        <v>54214.3</v>
      </c>
      <c r="BB14" s="57">
        <f t="shared" ref="BB14:BC14" si="2">BB11-BB13</f>
        <v>62346.444999999992</v>
      </c>
      <c r="BC14" s="53">
        <f t="shared" si="2"/>
        <v>68581.089500000002</v>
      </c>
      <c r="BF14" s="186" t="s">
        <v>199</v>
      </c>
      <c r="BG14" s="52"/>
      <c r="BH14" s="52"/>
      <c r="BI14" s="52"/>
      <c r="BJ14" s="187">
        <f>Q12+Q23</f>
        <v>11350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2500</v>
      </c>
      <c r="T15" s="51" t="s">
        <v>143</v>
      </c>
      <c r="U15" s="52"/>
      <c r="V15" s="52"/>
      <c r="W15" s="52"/>
      <c r="X15" s="60">
        <f>'Données à saisir'!B134</f>
        <v>26000</v>
      </c>
      <c r="Y15" s="60">
        <f>'Données à saisir'!C134</f>
        <v>28000</v>
      </c>
      <c r="Z15" s="61">
        <f>'Données à saisir'!D134</f>
        <v>31000</v>
      </c>
      <c r="AC15" s="67"/>
      <c r="AG15" s="62"/>
      <c r="AH15" s="62"/>
      <c r="AI15" s="69"/>
      <c r="AL15" s="70" t="s">
        <v>80</v>
      </c>
      <c r="AO15" s="104">
        <f>AG14</f>
        <v>3431.7000000000003</v>
      </c>
      <c r="AP15" s="145">
        <f>AO15/$AO$14</f>
        <v>5.9530583214793743E-2</v>
      </c>
      <c r="AQ15" s="104">
        <f>AH14</f>
        <v>3946.4549999999999</v>
      </c>
      <c r="AR15" s="145">
        <f>AQ15/$AQ$14</f>
        <v>5.9530583214793743E-2</v>
      </c>
      <c r="AS15" s="104">
        <f>AI14</f>
        <v>4341.1004999999996</v>
      </c>
      <c r="AT15" s="146">
        <f>AS15/$AS$14</f>
        <v>5.9530583214793736E-2</v>
      </c>
      <c r="AW15" s="63" t="s">
        <v>193</v>
      </c>
      <c r="AX15" s="64"/>
      <c r="AY15" s="64"/>
      <c r="AZ15" s="64"/>
      <c r="BA15" s="154">
        <f>IF(ISERROR(BA14/BA11),0,BA14/BA11)</f>
        <v>0.94046941678520635</v>
      </c>
      <c r="BB15" s="154">
        <f t="shared" ref="BB15:BC15" si="3">IF(ISERROR(BB14/BB11),0,BB14/BB11)</f>
        <v>0.94046941678520624</v>
      </c>
      <c r="BC15" s="158">
        <f t="shared" si="3"/>
        <v>0.94046941678520624</v>
      </c>
      <c r="BF15" s="123" t="s">
        <v>264</v>
      </c>
      <c r="BJ15" s="104">
        <f>Q30</f>
        <v>3500</v>
      </c>
      <c r="BK15" s="104"/>
      <c r="BL15" s="120"/>
      <c r="BO15" s="192" t="s">
        <v>200</v>
      </c>
      <c r="BP15" s="52"/>
      <c r="BQ15" s="52"/>
      <c r="BR15" s="187">
        <f>BJ19</f>
        <v>10000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10000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140</v>
      </c>
      <c r="X16" s="62"/>
      <c r="Y16" s="102">
        <f>IF(ISERROR((Y15-X15)/X15),"",(Y15-X15)/X15)</f>
        <v>7.6923076923076927E-2</v>
      </c>
      <c r="Z16" s="103">
        <f>IF(ISERROR((Z15-Y15)/Y15),"",(Z15-Y15)/Y15)</f>
        <v>0.10714285714285714</v>
      </c>
      <c r="AC16" s="63" t="s">
        <v>125</v>
      </c>
      <c r="AD16" s="64"/>
      <c r="AE16" s="64"/>
      <c r="AF16" s="64"/>
      <c r="AG16" s="65">
        <f>AG10-AG13</f>
        <v>54214.3</v>
      </c>
      <c r="AH16" s="65">
        <f>AH10-AH13</f>
        <v>62346.444999999992</v>
      </c>
      <c r="AI16" s="66">
        <f>AI10-AI13</f>
        <v>68581.089500000002</v>
      </c>
      <c r="AL16" s="63" t="s">
        <v>154</v>
      </c>
      <c r="AM16" s="64"/>
      <c r="AN16" s="64"/>
      <c r="AO16" s="65">
        <f>AO14-AO15</f>
        <v>54214.3</v>
      </c>
      <c r="AP16" s="147">
        <f t="shared" ref="AP16:AP28" si="5">AO16/$AO$14</f>
        <v>0.94046941678520635</v>
      </c>
      <c r="AQ16" s="65">
        <f t="shared" ref="AQ16:AS16" si="6">AQ14-AQ15</f>
        <v>62346.444999999992</v>
      </c>
      <c r="AR16" s="148">
        <f t="shared" ref="AR16:AR28" si="7">AQ16/$AQ$14</f>
        <v>0.94046941678520624</v>
      </c>
      <c r="AS16" s="65">
        <f t="shared" si="6"/>
        <v>68581.089500000002</v>
      </c>
      <c r="AT16" s="150">
        <f t="shared" ref="AT16:AT28" si="8">AS16/$AS$14</f>
        <v>0.94046941678520624</v>
      </c>
      <c r="AW16" s="123" t="s">
        <v>177</v>
      </c>
      <c r="BA16" s="104">
        <f>SUM(AO17,AO19,AO20,AO22,AO24)</f>
        <v>49528.810985468772</v>
      </c>
      <c r="BB16" s="104">
        <f>SUM(AQ17,AQ19,AQ20,AQ22,AQ24)</f>
        <v>60614.717385468772</v>
      </c>
      <c r="BC16" s="159">
        <f>SUM(AS17,AS19,AS20,AS22,AS24)</f>
        <v>65958.971825468776</v>
      </c>
      <c r="BF16" s="123" t="s">
        <v>197</v>
      </c>
      <c r="BJ16" s="104">
        <f>BA39</f>
        <v>-282.05753424657541</v>
      </c>
      <c r="BK16" s="104">
        <f>BB39-BA39</f>
        <v>-42.308630136986267</v>
      </c>
      <c r="BL16" s="120">
        <f>+BC39-BB39</f>
        <v>-32.436616438356111</v>
      </c>
      <c r="BO16" s="123" t="s">
        <v>201</v>
      </c>
      <c r="BR16" s="104">
        <f>BJ20</f>
        <v>7850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7850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144</v>
      </c>
      <c r="X17" s="57">
        <f>AG40</f>
        <v>5982.6379999999999</v>
      </c>
      <c r="Y17" s="57">
        <f>AH40</f>
        <v>13702.544399999999</v>
      </c>
      <c r="Z17" s="53">
        <f>AI40</f>
        <v>15072.798839999999</v>
      </c>
      <c r="AC17" s="37" t="s">
        <v>126</v>
      </c>
      <c r="AG17" s="57">
        <f>SUM(AG18:AG33)</f>
        <v>14860</v>
      </c>
      <c r="AH17" s="57">
        <f>SUM(AH18:AH33)</f>
        <v>15526</v>
      </c>
      <c r="AI17" s="68">
        <f>SUM(AI18:AI33)</f>
        <v>16440</v>
      </c>
      <c r="AL17" s="70" t="s">
        <v>81</v>
      </c>
      <c r="AO17" s="104">
        <f>AG17</f>
        <v>14860</v>
      </c>
      <c r="AP17" s="145">
        <f t="shared" si="5"/>
        <v>0.25778024494327445</v>
      </c>
      <c r="AQ17" s="104">
        <f>AH17</f>
        <v>15526</v>
      </c>
      <c r="AR17" s="149">
        <f t="shared" si="7"/>
        <v>0.23420305945282227</v>
      </c>
      <c r="AS17" s="104">
        <f>AI17</f>
        <v>16440</v>
      </c>
      <c r="AT17" s="146">
        <f t="shared" si="8"/>
        <v>0.22544577994709156</v>
      </c>
      <c r="AW17" s="63" t="s">
        <v>194</v>
      </c>
      <c r="AX17" s="64"/>
      <c r="AY17" s="64"/>
      <c r="AZ17" s="64"/>
      <c r="BA17" s="65">
        <f>BA12+BA16</f>
        <v>52960.510985468769</v>
      </c>
      <c r="BB17" s="65">
        <f t="shared" ref="BB17:BC17" si="9">BB12+BB16</f>
        <v>64561.172385468773</v>
      </c>
      <c r="BC17" s="66">
        <f t="shared" si="9"/>
        <v>70300.072325468776</v>
      </c>
      <c r="BF17" s="123" t="s">
        <v>198</v>
      </c>
      <c r="BJ17" s="104">
        <f>AO45</f>
        <v>1121.4285714285713</v>
      </c>
      <c r="BK17" s="104">
        <f>AQ45</f>
        <v>1121.4285714285713</v>
      </c>
      <c r="BL17" s="120">
        <f>AS45</f>
        <v>1121.4285714285713</v>
      </c>
      <c r="BO17" s="123" t="s">
        <v>202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350</v>
      </c>
      <c r="AH18" s="62">
        <f>IF(ISBLANK('Données à saisir'!C77),0,'Données à saisir'!C77)</f>
        <v>360</v>
      </c>
      <c r="AI18" s="54">
        <f>IF(ISBLANK('Données à saisir'!D77),0,'Données à saisir'!D77)</f>
        <v>370</v>
      </c>
      <c r="AL18" s="63" t="s">
        <v>127</v>
      </c>
      <c r="AM18" s="64"/>
      <c r="AN18" s="64"/>
      <c r="AO18" s="65">
        <f>AO16-AO17</f>
        <v>39354.300000000003</v>
      </c>
      <c r="AP18" s="147">
        <f t="shared" si="5"/>
        <v>0.68268917184193179</v>
      </c>
      <c r="AQ18" s="65">
        <f t="shared" ref="AQ18:AS18" si="10">AQ16-AQ17</f>
        <v>46820.444999999992</v>
      </c>
      <c r="AR18" s="148">
        <f t="shared" si="7"/>
        <v>0.70626635733238396</v>
      </c>
      <c r="AS18" s="65">
        <f t="shared" si="10"/>
        <v>52141.089500000002</v>
      </c>
      <c r="AT18" s="150">
        <f t="shared" si="8"/>
        <v>0.71502363683811476</v>
      </c>
      <c r="AW18" s="123" t="s">
        <v>178</v>
      </c>
      <c r="BA18" s="104">
        <f>AG44</f>
        <v>4685.489014531232</v>
      </c>
      <c r="BB18" s="104">
        <f>AH44</f>
        <v>1731.7276145312212</v>
      </c>
      <c r="BC18" s="159">
        <f>AI44</f>
        <v>2622.1176745312268</v>
      </c>
      <c r="BF18" s="63" t="s">
        <v>196</v>
      </c>
      <c r="BG18" s="64"/>
      <c r="BH18" s="64"/>
      <c r="BI18" s="64"/>
      <c r="BJ18" s="188">
        <f>SUM(BJ14:BJ17)</f>
        <v>15689.371037181996</v>
      </c>
      <c r="BK18" s="189">
        <f>SUM(BK14:BK17)</f>
        <v>1079.1199412915851</v>
      </c>
      <c r="BL18" s="190">
        <f>SUM(BL14:BL17)</f>
        <v>1088.9919549902152</v>
      </c>
      <c r="BO18" s="123" t="s">
        <v>203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141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600</v>
      </c>
      <c r="AH19" s="62">
        <f>IF(ISBLANK('Données à saisir'!C78),0,'Données à saisir'!C78)</f>
        <v>650</v>
      </c>
      <c r="AI19" s="54">
        <f>IF(ISBLANK('Données à saisir'!D78),0,'Données à saisir'!D78)</f>
        <v>700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700</v>
      </c>
      <c r="AR19" s="149">
        <f t="shared" si="7"/>
        <v>1.055920015567278E-2</v>
      </c>
      <c r="AS19" s="104">
        <f>AI36</f>
        <v>740</v>
      </c>
      <c r="AT19" s="146">
        <f t="shared" si="8"/>
        <v>1.0147802747010203E-2</v>
      </c>
      <c r="AW19" s="63" t="s">
        <v>195</v>
      </c>
      <c r="AX19" s="64"/>
      <c r="AY19" s="64"/>
      <c r="AZ19" s="64"/>
      <c r="BA19" s="65">
        <f>IF(ISERROR(BA16/BA15),0,BA16/BA15)</f>
        <v>52663.925164916502</v>
      </c>
      <c r="BB19" s="65">
        <f t="shared" ref="BB19:BC19" si="11">IF(ISERROR(BB16/BB15),0,BB16/BB15)</f>
        <v>64451.556109785291</v>
      </c>
      <c r="BC19" s="66">
        <f t="shared" si="11"/>
        <v>70134.095429637076</v>
      </c>
      <c r="BF19" s="123" t="s">
        <v>200</v>
      </c>
      <c r="BJ19" s="104">
        <f>Q37</f>
        <v>10000</v>
      </c>
      <c r="BK19" s="104"/>
      <c r="BL19" s="159"/>
      <c r="BO19" s="192" t="s">
        <v>211</v>
      </c>
      <c r="BP19" s="34"/>
      <c r="BQ19" s="34"/>
      <c r="BR19" s="119">
        <f>'Données à saisir'!D103</f>
        <v>330</v>
      </c>
      <c r="BS19" s="119">
        <f>'Données à saisir'!D104</f>
        <v>396</v>
      </c>
      <c r="BT19" s="119">
        <f>'Données à saisir'!D105</f>
        <v>462</v>
      </c>
      <c r="BU19" s="119">
        <f>'Données à saisir'!D106</f>
        <v>480</v>
      </c>
      <c r="BV19" s="209">
        <f>'Données à saisir'!D107</f>
        <v>594</v>
      </c>
      <c r="BY19" s="210">
        <f>'Données à saisir'!D108</f>
        <v>660</v>
      </c>
      <c r="BZ19" s="119">
        <f>'Données à saisir'!D109</f>
        <v>726</v>
      </c>
      <c r="CA19" s="119">
        <f>'Données à saisir'!D110</f>
        <v>540</v>
      </c>
      <c r="CB19" s="119">
        <f>'Données à saisir'!D111</f>
        <v>858</v>
      </c>
      <c r="CC19" s="119">
        <f>'Données à saisir'!D112</f>
        <v>630</v>
      </c>
      <c r="CD19" s="119">
        <f>'Données à saisir'!D113</f>
        <v>990</v>
      </c>
      <c r="CE19" s="211">
        <f>'Données à saisir'!D114</f>
        <v>960</v>
      </c>
      <c r="CF19" s="213">
        <f>SUM(BR19:CE19)</f>
        <v>7626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1000</v>
      </c>
      <c r="T20" s="44"/>
      <c r="U20" s="3" t="s">
        <v>140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60</v>
      </c>
      <c r="AH20" s="62">
        <f>IF(ISBLANK('Données à saisir'!C79),0,'Données à saisir'!C79)</f>
        <v>66</v>
      </c>
      <c r="AI20" s="54">
        <f>IF(ISBLANK('Données à saisir'!D79),0,'Données à saisir'!D79)</f>
        <v>70</v>
      </c>
      <c r="AL20" s="38" t="s">
        <v>153</v>
      </c>
      <c r="AM20" s="1"/>
      <c r="AN20" s="1"/>
      <c r="AO20" s="104">
        <f>SUM(AG37:AG40)</f>
        <v>31982.637999999999</v>
      </c>
      <c r="AP20" s="145">
        <f t="shared" si="5"/>
        <v>0.55481105367241434</v>
      </c>
      <c r="AQ20" s="104">
        <f>SUM(AH37:AH40)</f>
        <v>41702.544399999999</v>
      </c>
      <c r="AR20" s="149">
        <f t="shared" si="7"/>
        <v>0.62906501902918721</v>
      </c>
      <c r="AS20" s="104">
        <f>SUM(AI37:AI40)</f>
        <v>46072.798840000003</v>
      </c>
      <c r="AT20" s="146">
        <f t="shared" si="8"/>
        <v>0.63180766842027103</v>
      </c>
      <c r="AW20" s="123" t="s">
        <v>179</v>
      </c>
      <c r="BA20" s="104">
        <f>BA11-BA19</f>
        <v>4982.0748350834983</v>
      </c>
      <c r="BB20" s="104">
        <f t="shared" ref="BB20:BC20" si="12">BB11-BB19</f>
        <v>1841.3438902147027</v>
      </c>
      <c r="BC20" s="120">
        <f t="shared" si="12"/>
        <v>2788.0945703629259</v>
      </c>
      <c r="BF20" s="123" t="s">
        <v>201</v>
      </c>
      <c r="BJ20" s="104">
        <f>Q40</f>
        <v>7850</v>
      </c>
      <c r="BK20" s="104"/>
      <c r="BL20" s="159"/>
      <c r="BO20" s="123" t="s">
        <v>212</v>
      </c>
      <c r="BR20" s="104">
        <f>'Données à saisir'!I103</f>
        <v>3300</v>
      </c>
      <c r="BS20" s="104">
        <f>'Données à saisir'!I104</f>
        <v>3520</v>
      </c>
      <c r="BT20" s="104">
        <f>'Données à saisir'!I105</f>
        <v>3740</v>
      </c>
      <c r="BU20" s="104">
        <f>'Données à saisir'!I106</f>
        <v>3600</v>
      </c>
      <c r="BV20" s="159">
        <f>'Données à saisir'!I107</f>
        <v>4180</v>
      </c>
      <c r="BY20" s="196">
        <f>'Données à saisir'!I108</f>
        <v>4400</v>
      </c>
      <c r="BZ20" s="104">
        <f>'Données à saisir'!I109</f>
        <v>4620</v>
      </c>
      <c r="CA20" s="104">
        <f>'Données à saisir'!I110</f>
        <v>3300</v>
      </c>
      <c r="CB20" s="104">
        <f>'Données à saisir'!I111</f>
        <v>5060</v>
      </c>
      <c r="CC20" s="104">
        <f>'Données à saisir'!I112</f>
        <v>3600</v>
      </c>
      <c r="CD20" s="104">
        <f>'Données à saisir'!I113</f>
        <v>5500</v>
      </c>
      <c r="CE20" s="132">
        <f>'Données à saisir'!I114</f>
        <v>5200</v>
      </c>
      <c r="CF20" s="201">
        <f t="shared" ref="CF20:CF24" si="13">SUM(BR20:CE20)</f>
        <v>50020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250</v>
      </c>
      <c r="T21" s="37" t="s">
        <v>142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450</v>
      </c>
      <c r="AH21" s="62">
        <f>IF(ISBLANK('Données à saisir'!C80),0,'Données à saisir'!C80)</f>
        <v>500</v>
      </c>
      <c r="AI21" s="54">
        <f>IF(ISBLANK('Données à saisir'!D80),0,'Données à saisir'!D80)</f>
        <v>600</v>
      </c>
      <c r="AL21" s="63" t="s">
        <v>128</v>
      </c>
      <c r="AM21" s="64"/>
      <c r="AN21" s="64"/>
      <c r="AO21" s="65">
        <f>AO18-AO19-AO20</f>
        <v>7371.6620000000039</v>
      </c>
      <c r="AP21" s="147">
        <f t="shared" si="5"/>
        <v>0.12787811816951747</v>
      </c>
      <c r="AQ21" s="65">
        <f t="shared" ref="AQ21:AS21" si="14">AQ18-AQ19-AQ20</f>
        <v>4417.9005999999936</v>
      </c>
      <c r="AR21" s="148">
        <f t="shared" si="7"/>
        <v>6.6642138147523997E-2</v>
      </c>
      <c r="AS21" s="65">
        <f t="shared" si="14"/>
        <v>5328.2906599999988</v>
      </c>
      <c r="AT21" s="150">
        <f t="shared" si="8"/>
        <v>7.3068165670833504E-2</v>
      </c>
      <c r="AW21" s="208" t="s">
        <v>180</v>
      </c>
      <c r="AX21" s="36"/>
      <c r="AY21" s="36"/>
      <c r="AZ21" s="36"/>
      <c r="BA21" s="156">
        <f>BA19/250</f>
        <v>210.655700659666</v>
      </c>
      <c r="BB21" s="156">
        <f t="shared" ref="BB21:BC21" si="15">BB19/250</f>
        <v>257.80622443914115</v>
      </c>
      <c r="BC21" s="157">
        <f t="shared" si="15"/>
        <v>280.53638171854828</v>
      </c>
      <c r="BF21" s="123" t="s">
        <v>202</v>
      </c>
      <c r="BJ21" s="104">
        <f>Q44+Q45</f>
        <v>0</v>
      </c>
      <c r="BK21" s="104"/>
      <c r="BL21" s="159"/>
      <c r="BO21" s="63" t="s">
        <v>213</v>
      </c>
      <c r="BP21" s="64"/>
      <c r="BQ21" s="64"/>
      <c r="BR21" s="65">
        <f>SUM(BR19:BR20)</f>
        <v>3630</v>
      </c>
      <c r="BS21" s="65">
        <f t="shared" ref="BS21:BV21" si="16">SUM(BS19:BS20)</f>
        <v>3916</v>
      </c>
      <c r="BT21" s="65">
        <f t="shared" si="16"/>
        <v>4202</v>
      </c>
      <c r="BU21" s="65">
        <f t="shared" si="16"/>
        <v>4080</v>
      </c>
      <c r="BV21" s="66">
        <f t="shared" si="16"/>
        <v>4774</v>
      </c>
      <c r="BY21" s="197">
        <f t="shared" ref="BY21:CE21" si="17">SUM(BY19:BY20)</f>
        <v>5060</v>
      </c>
      <c r="BZ21" s="65">
        <f t="shared" si="17"/>
        <v>5346</v>
      </c>
      <c r="CA21" s="65">
        <f t="shared" si="17"/>
        <v>3840</v>
      </c>
      <c r="CB21" s="65">
        <f t="shared" si="17"/>
        <v>5918</v>
      </c>
      <c r="CC21" s="65">
        <f t="shared" si="17"/>
        <v>4230</v>
      </c>
      <c r="CD21" s="65">
        <f t="shared" si="17"/>
        <v>6490</v>
      </c>
      <c r="CE21" s="131">
        <f t="shared" si="17"/>
        <v>6160</v>
      </c>
      <c r="CF21" s="200">
        <f t="shared" si="13"/>
        <v>57646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600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155</v>
      </c>
      <c r="AO22" s="104">
        <f>AG43</f>
        <v>2070</v>
      </c>
      <c r="AP22" s="145">
        <f t="shared" si="5"/>
        <v>3.5908822815112929E-2</v>
      </c>
      <c r="AQ22" s="104">
        <f>AH43</f>
        <v>2070</v>
      </c>
      <c r="AR22" s="149">
        <f t="shared" si="7"/>
        <v>3.1225063317489508E-2</v>
      </c>
      <c r="AS22" s="104">
        <f>AI43</f>
        <v>2070</v>
      </c>
      <c r="AT22" s="146">
        <f t="shared" si="8"/>
        <v>2.838642119771773E-2</v>
      </c>
      <c r="BA22" s="90"/>
      <c r="BF22" s="123" t="s">
        <v>203</v>
      </c>
      <c r="BJ22" s="104" t="str">
        <f>Q46</f>
        <v/>
      </c>
      <c r="BK22" s="104"/>
      <c r="BL22" s="159"/>
      <c r="BO22" s="123" t="s">
        <v>73</v>
      </c>
      <c r="BR22" s="104">
        <f>Q12</f>
        <v>4350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4350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7000</v>
      </c>
      <c r="AC23" s="44" t="str">
        <f>'Données à saisir'!A82</f>
        <v>Eau, électricité, gaz</v>
      </c>
      <c r="AG23" s="62">
        <f>IF(ISBLANK('Données à saisir'!B82),0,'Données à saisir'!B82)</f>
        <v>3500</v>
      </c>
      <c r="AH23" s="62">
        <f>IF(ISBLANK('Données à saisir'!C82),0,'Données à saisir'!C82)</f>
        <v>3700</v>
      </c>
      <c r="AI23" s="54">
        <f>IF(ISBLANK('Données à saisir'!D82),0,'Données à saisir'!D82)</f>
        <v>4000</v>
      </c>
      <c r="AL23" s="63" t="s">
        <v>156</v>
      </c>
      <c r="AM23" s="64"/>
      <c r="AN23" s="64"/>
      <c r="AO23" s="65">
        <f>AO21-AO22</f>
        <v>5301.6620000000039</v>
      </c>
      <c r="AP23" s="147">
        <f t="shared" si="5"/>
        <v>9.196929535440454E-2</v>
      </c>
      <c r="AQ23" s="65">
        <f t="shared" ref="AQ23:AS23" si="18">AQ21-AQ22</f>
        <v>2347.9005999999936</v>
      </c>
      <c r="AR23" s="148">
        <f t="shared" si="7"/>
        <v>3.5417074830034492E-2</v>
      </c>
      <c r="AS23" s="65">
        <f t="shared" si="18"/>
        <v>3258.2906599999988</v>
      </c>
      <c r="AT23" s="150">
        <f t="shared" si="8"/>
        <v>4.4681744473115778E-2</v>
      </c>
      <c r="AW23" s="4"/>
      <c r="BA23" s="99"/>
      <c r="BB23" s="99"/>
      <c r="BC23" s="99"/>
      <c r="BF23" s="123" t="s">
        <v>204</v>
      </c>
      <c r="BJ23" s="104">
        <f>AO44</f>
        <v>6755.489014531232</v>
      </c>
      <c r="BK23" s="104">
        <f>AQ44</f>
        <v>3801.7276145312212</v>
      </c>
      <c r="BL23" s="159">
        <f>AS44</f>
        <v>4692.1176745312259</v>
      </c>
      <c r="BO23" s="123" t="s">
        <v>70</v>
      </c>
      <c r="BR23" s="104">
        <f>Q23</f>
        <v>7000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7000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1500</v>
      </c>
      <c r="AC24" s="44" t="str">
        <f>'Données à saisir'!A83</f>
        <v>Mutuelle</v>
      </c>
      <c r="AG24" s="62">
        <f>IF(ISBLANK('Données à saisir'!B83),0,'Données à saisir'!B83)</f>
        <v>0</v>
      </c>
      <c r="AH24" s="62">
        <f>IF(ISBLANK('Données à saisir'!C83),0,'Données à saisir'!C83)</f>
        <v>0</v>
      </c>
      <c r="AI24" s="54">
        <f>IF(ISBLANK('Données à saisir'!D83),0,'Données à saisir'!D83)</f>
        <v>0</v>
      </c>
      <c r="AL24" s="38" t="s">
        <v>32</v>
      </c>
      <c r="AM24" s="1"/>
      <c r="AN24" s="1"/>
      <c r="AO24" s="104">
        <f>AG42</f>
        <v>616.17298546877225</v>
      </c>
      <c r="AP24" s="145">
        <f t="shared" si="5"/>
        <v>1.0688911380993864E-2</v>
      </c>
      <c r="AQ24" s="104">
        <f>AH42</f>
        <v>616.17298546877225</v>
      </c>
      <c r="AR24" s="149">
        <f t="shared" si="7"/>
        <v>9.2947055486903175E-3</v>
      </c>
      <c r="AS24" s="104">
        <f>AI42</f>
        <v>636.17298546877225</v>
      </c>
      <c r="AT24" s="146">
        <f t="shared" si="8"/>
        <v>8.7239972560995797E-3</v>
      </c>
      <c r="BF24" s="63" t="s">
        <v>205</v>
      </c>
      <c r="BG24" s="64"/>
      <c r="BH24" s="64"/>
      <c r="BI24" s="64"/>
      <c r="BJ24" s="65">
        <f>SUM(BJ19:BJ23)</f>
        <v>24605.489014531231</v>
      </c>
      <c r="BK24" s="65">
        <f>SUM(BK19:BK23)</f>
        <v>3801.7276145312212</v>
      </c>
      <c r="BL24" s="66">
        <f>SUM(BL19:BL23)</f>
        <v>4692.1176745312259</v>
      </c>
      <c r="BO24" s="63" t="s">
        <v>225</v>
      </c>
      <c r="BP24" s="64"/>
      <c r="BQ24" s="64"/>
      <c r="BR24" s="65">
        <f>SUM(BR22:BR23)</f>
        <v>11350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11350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146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600</v>
      </c>
      <c r="AH25" s="62">
        <f>IF(ISBLANK('Données à saisir'!C84),0,'Données à saisir'!C84)</f>
        <v>700</v>
      </c>
      <c r="AI25" s="54">
        <f>IF(ISBLANK('Données à saisir'!D84),0,'Données à saisir'!D84)</f>
        <v>800</v>
      </c>
      <c r="AL25" s="38" t="s">
        <v>157</v>
      </c>
      <c r="AM25" s="1"/>
      <c r="AN25" s="1"/>
      <c r="AO25" s="104">
        <f>AO24*-1</f>
        <v>-616.17298546877225</v>
      </c>
      <c r="AP25" s="145">
        <f t="shared" si="5"/>
        <v>-1.0688911380993864E-2</v>
      </c>
      <c r="AQ25" s="104">
        <f t="shared" ref="AQ25:AS25" si="19">AQ24*-1</f>
        <v>-616.17298546877225</v>
      </c>
      <c r="AR25" s="149">
        <f t="shared" si="7"/>
        <v>-9.2947055486903175E-3</v>
      </c>
      <c r="AS25" s="104">
        <f t="shared" si="19"/>
        <v>-636.17298546877225</v>
      </c>
      <c r="AT25" s="146">
        <f t="shared" si="8"/>
        <v>-8.7239972560995797E-3</v>
      </c>
      <c r="BA25" s="90"/>
      <c r="BF25" s="123" t="s">
        <v>206</v>
      </c>
      <c r="BJ25" s="104">
        <f>BJ24-BJ18</f>
        <v>8916.1179773492349</v>
      </c>
      <c r="BK25" s="104">
        <f>BK24-BK18</f>
        <v>2722.6076732396359</v>
      </c>
      <c r="BL25" s="120">
        <f>BL24-BL18</f>
        <v>3603.1257195410108</v>
      </c>
      <c r="BO25" s="123" t="s">
        <v>259</v>
      </c>
      <c r="BR25" s="104">
        <f>Q30</f>
        <v>3500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3500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3000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0</v>
      </c>
      <c r="AH26" s="62">
        <f>IF(ISBLANK('Données à saisir'!C85),0,'Données à saisir'!C85)</f>
        <v>0</v>
      </c>
      <c r="AI26" s="54">
        <f>IF(ISBLANK('Données à saisir'!D85),0,'Données à saisir'!D85)</f>
        <v>0</v>
      </c>
      <c r="AL26" s="63" t="s">
        <v>159</v>
      </c>
      <c r="AM26" s="64"/>
      <c r="AN26" s="64"/>
      <c r="AO26" s="65">
        <f>AO23+AO25</f>
        <v>4685.489014531232</v>
      </c>
      <c r="AP26" s="147">
        <f t="shared" si="5"/>
        <v>8.1280383973410683E-2</v>
      </c>
      <c r="AQ26" s="65">
        <f t="shared" ref="AQ26:AS26" si="21">AQ23+AQ25</f>
        <v>1731.7276145312212</v>
      </c>
      <c r="AR26" s="148">
        <f t="shared" si="7"/>
        <v>2.6122369281344177E-2</v>
      </c>
      <c r="AS26" s="65">
        <f t="shared" si="21"/>
        <v>2622.1176745312264</v>
      </c>
      <c r="AT26" s="150">
        <f t="shared" si="8"/>
        <v>3.5957747217016195E-2</v>
      </c>
      <c r="BF26" s="63" t="s">
        <v>260</v>
      </c>
      <c r="BG26" s="64"/>
      <c r="BH26" s="64"/>
      <c r="BI26" s="64"/>
      <c r="BJ26" s="65">
        <f>BJ25</f>
        <v>8916.1179773492349</v>
      </c>
      <c r="BK26" s="65">
        <f>BJ26+BK25</f>
        <v>11638.725650588871</v>
      </c>
      <c r="BL26" s="66">
        <f>+BK26+BL25</f>
        <v>15241.851370129882</v>
      </c>
      <c r="BO26" s="123" t="s">
        <v>226</v>
      </c>
      <c r="BR26" s="104">
        <f>IF(ISERROR('Données à saisir'!$J$73/12),0,'Données à saisir'!$J$73/12)</f>
        <v>93.452380952380949</v>
      </c>
      <c r="BS26" s="104">
        <f>IF(ISERROR('Données à saisir'!$J$73/12),0,'Données à saisir'!$J$73/12)</f>
        <v>93.452380952380949</v>
      </c>
      <c r="BT26" s="104">
        <f>IF(ISERROR('Données à saisir'!$J$73/12),0,'Données à saisir'!$J$73/12)</f>
        <v>93.452380952380949</v>
      </c>
      <c r="BU26" s="104">
        <f>IF(ISERROR('Données à saisir'!$J$73/12),0,'Données à saisir'!$J$73/12)</f>
        <v>93.452380952380949</v>
      </c>
      <c r="BV26" s="120">
        <f>IF(ISERROR('Données à saisir'!$J$73/12),0,'Données à saisir'!$J$73/12)</f>
        <v>93.452380952380949</v>
      </c>
      <c r="BY26" s="196">
        <f>IF(ISERROR('Données à saisir'!$J$73/12),0,'Données à saisir'!$J$73/12)</f>
        <v>93.452380952380949</v>
      </c>
      <c r="BZ26" s="104">
        <f>IF(ISERROR('Données à saisir'!$J$73/12),0,'Données à saisir'!$J$73/12)</f>
        <v>93.452380952380949</v>
      </c>
      <c r="CA26" s="104">
        <f>IF(ISERROR('Données à saisir'!$J$73/12),0,'Données à saisir'!$J$73/12)</f>
        <v>93.452380952380949</v>
      </c>
      <c r="CB26" s="104">
        <f>IF(ISERROR('Données à saisir'!$J$73/12),0,'Données à saisir'!$J$73/12)</f>
        <v>93.452380952380949</v>
      </c>
      <c r="CC26" s="104">
        <f>IF(ISERROR('Données à saisir'!$J$73/12),0,'Données à saisir'!$J$73/12)</f>
        <v>93.452380952380949</v>
      </c>
      <c r="CD26" s="104">
        <f>IF(ISERROR('Données à saisir'!$J$73/12),0,'Données à saisir'!$J$73/12)</f>
        <v>93.452380952380949</v>
      </c>
      <c r="CE26" s="132">
        <f>IF(ISERROR('Données à saisir'!$J$73/12),0,'Données à saisir'!$J$73/12)</f>
        <v>93.452380952380949</v>
      </c>
      <c r="CF26" s="201">
        <f t="shared" si="20"/>
        <v>1121.4285714285713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1000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160</v>
      </c>
      <c r="AM27" s="64"/>
      <c r="AN27" s="64"/>
      <c r="AO27" s="65">
        <f>IF(ISERROR(AO26-AG45),AO26,(AO26-AG45))</f>
        <v>4685.489014531232</v>
      </c>
      <c r="AP27" s="147">
        <f t="shared" si="5"/>
        <v>8.1280383973410683E-2</v>
      </c>
      <c r="AQ27" s="65">
        <f>IF(ISERROR(AQ26-AH45),AQ26,(AQ26-AH45))</f>
        <v>1731.7276145312212</v>
      </c>
      <c r="AR27" s="148">
        <f t="shared" si="7"/>
        <v>2.6122369281344177E-2</v>
      </c>
      <c r="AS27" s="65">
        <f>IF(ISERROR(AS26-AI45),AS26,(AS26-AI45))</f>
        <v>2622.1176745312264</v>
      </c>
      <c r="AT27" s="150">
        <f t="shared" si="8"/>
        <v>3.5957747217016195E-2</v>
      </c>
      <c r="BO27" s="123" t="s">
        <v>227</v>
      </c>
      <c r="BR27" s="104">
        <f>BR19*'Données à saisir'!$D$123</f>
        <v>148.5</v>
      </c>
      <c r="BS27" s="104">
        <f>BS19*'Données à saisir'!$D$123</f>
        <v>178.20000000000002</v>
      </c>
      <c r="BT27" s="104">
        <f>BT19*'Données à saisir'!$D$123</f>
        <v>207.9</v>
      </c>
      <c r="BU27" s="104">
        <f>BU19*'Données à saisir'!$D$123</f>
        <v>216</v>
      </c>
      <c r="BV27" s="120">
        <f>BV19*'Données à saisir'!$D$123</f>
        <v>267.3</v>
      </c>
      <c r="BY27" s="196">
        <f>BY19*'Données à saisir'!$D$123</f>
        <v>297</v>
      </c>
      <c r="BZ27" s="104">
        <f>BZ19*'Données à saisir'!$D$123</f>
        <v>326.7</v>
      </c>
      <c r="CA27" s="104">
        <f>CA19*'Données à saisir'!$D$123</f>
        <v>243</v>
      </c>
      <c r="CB27" s="104">
        <f>CB19*'Données à saisir'!$D$123</f>
        <v>386.1</v>
      </c>
      <c r="CC27" s="104">
        <f>CC19*'Données à saisir'!$D$123</f>
        <v>283.5</v>
      </c>
      <c r="CD27" s="104">
        <f>CD19*'Données à saisir'!$D$123</f>
        <v>445.5</v>
      </c>
      <c r="CE27" s="132">
        <f>CE19*'Données à saisir'!$D$123</f>
        <v>432</v>
      </c>
      <c r="CF27" s="201">
        <f t="shared" si="20"/>
        <v>3431.7000000000003</v>
      </c>
    </row>
    <row r="28" spans="2:84" ht="15.1" customHeight="1" thickBot="1" x14ac:dyDescent="0.3">
      <c r="B28" s="26"/>
      <c r="C28" s="327" t="str">
        <f>IF(ISBLANK('Données à saisir'!B7),"",('Données à saisir'!B7))</f>
        <v>Massage bien-être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1500</v>
      </c>
      <c r="AH28" s="62">
        <f>IF(ISBLANK('Données à saisir'!C87),0,'Données à saisir'!C87)</f>
        <v>1500</v>
      </c>
      <c r="AI28" s="54">
        <f>IF(ISBLANK('Données à saisir'!D87),0,'Données à saisir'!D87)</f>
        <v>1600</v>
      </c>
      <c r="AL28" s="38" t="s">
        <v>158</v>
      </c>
      <c r="AM28" s="1"/>
      <c r="AN28" s="1"/>
      <c r="AO28" s="104">
        <f>AO27+AO22</f>
        <v>6755.489014531232</v>
      </c>
      <c r="AP28" s="145">
        <f t="shared" si="5"/>
        <v>0.11718920678852361</v>
      </c>
      <c r="AQ28" s="104">
        <f t="shared" ref="AQ28:AS28" si="22">AQ27+AQ22</f>
        <v>3801.7276145312212</v>
      </c>
      <c r="AR28" s="149">
        <f t="shared" si="7"/>
        <v>5.7347432598833681E-2</v>
      </c>
      <c r="AS28" s="104">
        <f t="shared" si="22"/>
        <v>4692.1176745312259</v>
      </c>
      <c r="AT28" s="151">
        <f t="shared" si="8"/>
        <v>6.4344168414733921E-2</v>
      </c>
      <c r="BF28" s="92" t="s">
        <v>256</v>
      </c>
      <c r="BI28" s="338">
        <f>Q31</f>
        <v>3000</v>
      </c>
      <c r="BJ28" s="338"/>
      <c r="BO28" s="123" t="s">
        <v>81</v>
      </c>
      <c r="BR28" s="104">
        <f>$AG$17/12</f>
        <v>1238.3333333333333</v>
      </c>
      <c r="BS28" s="104">
        <f t="shared" ref="BS28:CE28" si="23">$AG$17/12</f>
        <v>1238.3333333333333</v>
      </c>
      <c r="BT28" s="104">
        <f t="shared" si="23"/>
        <v>1238.3333333333333</v>
      </c>
      <c r="BU28" s="104">
        <f t="shared" si="23"/>
        <v>1238.3333333333333</v>
      </c>
      <c r="BV28" s="120">
        <f t="shared" si="23"/>
        <v>1238.3333333333333</v>
      </c>
      <c r="BY28" s="196">
        <f t="shared" si="23"/>
        <v>1238.3333333333333</v>
      </c>
      <c r="BZ28" s="104">
        <f t="shared" si="23"/>
        <v>1238.3333333333333</v>
      </c>
      <c r="CA28" s="104">
        <f t="shared" si="23"/>
        <v>1238.3333333333333</v>
      </c>
      <c r="CB28" s="104">
        <f t="shared" si="23"/>
        <v>1238.3333333333333</v>
      </c>
      <c r="CC28" s="104">
        <f t="shared" si="23"/>
        <v>1238.3333333333333</v>
      </c>
      <c r="CD28" s="104">
        <f t="shared" si="23"/>
        <v>1238.3333333333333</v>
      </c>
      <c r="CE28" s="132">
        <f t="shared" si="23"/>
        <v>1238.3333333333333</v>
      </c>
      <c r="CF28" s="201">
        <f t="shared" si="20"/>
        <v>14860.000000000002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7000</v>
      </c>
      <c r="AH29" s="62">
        <f>IF(ISBLANK('Données à saisir'!C88),0,'Données à saisir'!C88)</f>
        <v>7200</v>
      </c>
      <c r="AI29" s="54">
        <f>IF(ISBLANK('Données à saisir'!D88),0,'Données à saisir'!D88)</f>
        <v>7400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181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3500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0</v>
      </c>
      <c r="AH30" s="62">
        <f>IF(ISBLANK('Données à saisir'!C89),0,'Données à saisir'!C89)</f>
        <v>0</v>
      </c>
      <c r="AI30" s="54">
        <f>IF(ISBLANK('Données à saisir'!D89),0,'Données à saisir'!D89)</f>
        <v>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3000</v>
      </c>
      <c r="T31" s="107" t="s">
        <v>147</v>
      </c>
      <c r="U31" s="34"/>
      <c r="V31" s="34"/>
      <c r="W31" s="34"/>
      <c r="X31" s="110">
        <f>SUM(X33:X39)</f>
        <v>670</v>
      </c>
      <c r="Y31" s="110">
        <f>SUM(Y33:Y39)</f>
        <v>670</v>
      </c>
      <c r="Z31" s="111">
        <f>SUM(Z33:Z39)</f>
        <v>670</v>
      </c>
      <c r="AC31" s="44" t="str">
        <f>IF(ISBLANK('Données à saisir'!A93),"",'Données à saisir'!A93)</f>
        <v>Produits professionnels</v>
      </c>
      <c r="AG31" s="62">
        <f>IF(ISBLANK('Données à saisir'!B93),0,'Données à saisir'!B93)</f>
        <v>800</v>
      </c>
      <c r="AH31" s="62">
        <f>IF(ISBLANK('Données à saisir'!C93),0,'Données à saisir'!C93)</f>
        <v>850</v>
      </c>
      <c r="AI31" s="69">
        <f>IF(ISBLANK('Données à saisir'!D93),0,'Données à saisir'!D93)</f>
        <v>900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17850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2166.6666666666665</v>
      </c>
      <c r="BS32" s="104">
        <f t="shared" si="24"/>
        <v>2166.6666666666665</v>
      </c>
      <c r="BT32" s="104">
        <f t="shared" si="24"/>
        <v>2166.6666666666665</v>
      </c>
      <c r="BU32" s="104">
        <f t="shared" si="24"/>
        <v>2166.6666666666665</v>
      </c>
      <c r="BV32" s="120">
        <f t="shared" si="24"/>
        <v>2166.6666666666665</v>
      </c>
      <c r="BY32" s="196">
        <f t="shared" si="25"/>
        <v>2166.6666666666665</v>
      </c>
      <c r="BZ32" s="104">
        <f t="shared" si="25"/>
        <v>2166.6666666666665</v>
      </c>
      <c r="CA32" s="104">
        <f t="shared" si="25"/>
        <v>2166.6666666666665</v>
      </c>
      <c r="CB32" s="104">
        <f t="shared" si="25"/>
        <v>2166.6666666666665</v>
      </c>
      <c r="CC32" s="104">
        <f t="shared" si="25"/>
        <v>2166.6666666666665</v>
      </c>
      <c r="CD32" s="104">
        <f t="shared" si="25"/>
        <v>2166.6666666666665</v>
      </c>
      <c r="CE32" s="132">
        <f t="shared" si="25"/>
        <v>2166.6666666666665</v>
      </c>
      <c r="CF32" s="201">
        <f t="shared" si="20"/>
        <v>26000.000000000004</v>
      </c>
    </row>
    <row r="33" spans="2:84" ht="15.1" customHeight="1" thickBot="1" x14ac:dyDescent="0.3">
      <c r="B33" s="26"/>
      <c r="C33" s="296" t="str">
        <f>IF(ISBLANK('Données à saisir'!B8),"",('Données à saisir'!B8))</f>
        <v>Micro-entreprise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0</v>
      </c>
      <c r="Y33" s="113">
        <f>'Données à saisir'!D40</f>
        <v>0</v>
      </c>
      <c r="Z33" s="236">
        <f>'Données à saisir'!E40</f>
        <v>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190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498.55316666666664</v>
      </c>
      <c r="BS33" s="104">
        <f t="shared" si="24"/>
        <v>498.55316666666664</v>
      </c>
      <c r="BT33" s="104">
        <f t="shared" si="24"/>
        <v>498.55316666666664</v>
      </c>
      <c r="BU33" s="104">
        <f t="shared" si="24"/>
        <v>498.55316666666664</v>
      </c>
      <c r="BV33" s="120">
        <f t="shared" si="24"/>
        <v>498.55316666666664</v>
      </c>
      <c r="BY33" s="196">
        <f t="shared" si="25"/>
        <v>498.55316666666664</v>
      </c>
      <c r="BZ33" s="104">
        <f t="shared" si="25"/>
        <v>498.55316666666664</v>
      </c>
      <c r="CA33" s="104">
        <f t="shared" si="25"/>
        <v>498.55316666666664</v>
      </c>
      <c r="CB33" s="104">
        <f t="shared" si="25"/>
        <v>498.55316666666664</v>
      </c>
      <c r="CC33" s="104">
        <f t="shared" si="25"/>
        <v>498.55316666666664</v>
      </c>
      <c r="CD33" s="104">
        <f t="shared" si="25"/>
        <v>498.55316666666664</v>
      </c>
      <c r="CE33" s="132">
        <f t="shared" si="25"/>
        <v>498.55316666666664</v>
      </c>
      <c r="CF33" s="201">
        <f t="shared" si="20"/>
        <v>5982.6379999999999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135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500</v>
      </c>
      <c r="Y34" s="113">
        <f>'Données à saisir'!D42</f>
        <v>500</v>
      </c>
      <c r="Z34" s="236">
        <f>'Données à saisir'!E42</f>
        <v>500</v>
      </c>
      <c r="AC34" s="67"/>
      <c r="AG34" s="62"/>
      <c r="AH34" s="62"/>
      <c r="AI34" s="69"/>
      <c r="AL34" s="302" t="s">
        <v>158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188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228</v>
      </c>
      <c r="BP34" s="64"/>
      <c r="BQ34" s="64"/>
      <c r="BR34" s="65">
        <f>SUM(BR30:BR33)</f>
        <v>2665.2198333333331</v>
      </c>
      <c r="BS34" s="65">
        <f t="shared" ref="BS34:CE34" si="27">SUM(BS30:BS33)</f>
        <v>2665.2198333333331</v>
      </c>
      <c r="BT34" s="65">
        <f t="shared" si="27"/>
        <v>2665.2198333333331</v>
      </c>
      <c r="BU34" s="65">
        <f t="shared" si="27"/>
        <v>2665.2198333333331</v>
      </c>
      <c r="BV34" s="66">
        <f t="shared" si="27"/>
        <v>2665.2198333333331</v>
      </c>
      <c r="BY34" s="197">
        <f t="shared" si="27"/>
        <v>2665.2198333333331</v>
      </c>
      <c r="BZ34" s="65">
        <f t="shared" si="27"/>
        <v>2665.2198333333331</v>
      </c>
      <c r="CA34" s="65">
        <f t="shared" si="27"/>
        <v>2665.2198333333331</v>
      </c>
      <c r="CB34" s="65">
        <f t="shared" si="27"/>
        <v>2665.2198333333331</v>
      </c>
      <c r="CC34" s="65">
        <f t="shared" si="27"/>
        <v>2665.2198333333331</v>
      </c>
      <c r="CD34" s="65">
        <f t="shared" si="27"/>
        <v>2665.2198333333331</v>
      </c>
      <c r="CE34" s="131">
        <f t="shared" si="27"/>
        <v>2665.2198333333331</v>
      </c>
      <c r="CF34" s="200">
        <f t="shared" si="20"/>
        <v>31982.637999999995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127</v>
      </c>
      <c r="AD35" s="64"/>
      <c r="AE35" s="64"/>
      <c r="AF35" s="64"/>
      <c r="AG35" s="65">
        <f>AG16-AG17</f>
        <v>39354.300000000003</v>
      </c>
      <c r="AH35" s="65">
        <f>AH16-AH17</f>
        <v>46820.444999999992</v>
      </c>
      <c r="AI35" s="66">
        <f>AI16-AI17</f>
        <v>52141.089500000002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185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51.347748789064354</v>
      </c>
      <c r="BS35" s="104">
        <f>$AG42/12</f>
        <v>51.347748789064354</v>
      </c>
      <c r="BT35" s="104">
        <f>$AG42/12</f>
        <v>51.347748789064354</v>
      </c>
      <c r="BU35" s="104">
        <f>$AG42/12</f>
        <v>51.347748789064354</v>
      </c>
      <c r="BV35" s="120">
        <f>$AG42/12</f>
        <v>51.347748789064354</v>
      </c>
      <c r="BY35" s="196">
        <f t="shared" ref="BY35:CE35" si="28">$AG42/12</f>
        <v>51.347748789064354</v>
      </c>
      <c r="BZ35" s="104">
        <f t="shared" si="28"/>
        <v>51.347748789064354</v>
      </c>
      <c r="CA35" s="104">
        <f t="shared" si="28"/>
        <v>51.347748789064354</v>
      </c>
      <c r="CB35" s="104">
        <f t="shared" si="28"/>
        <v>51.347748789064354</v>
      </c>
      <c r="CC35" s="104">
        <f t="shared" si="28"/>
        <v>51.347748789064354</v>
      </c>
      <c r="CD35" s="104">
        <f t="shared" si="28"/>
        <v>51.347748789064354</v>
      </c>
      <c r="CE35" s="132">
        <f t="shared" si="28"/>
        <v>51.347748789064354</v>
      </c>
      <c r="CF35" s="201">
        <f t="shared" si="20"/>
        <v>616.17298546877203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50</v>
      </c>
      <c r="Y36" s="113">
        <f>'Données à saisir'!D48</f>
        <v>50</v>
      </c>
      <c r="Z36" s="236">
        <f>'Données à saisir'!E48</f>
        <v>50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700</v>
      </c>
      <c r="AI36" s="53">
        <f>IF(ISBLANK('Données à saisir'!D91),0,'Données à saisir'!D91)</f>
        <v>740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187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229</v>
      </c>
      <c r="BP36" s="64"/>
      <c r="BQ36" s="64"/>
      <c r="BR36" s="65">
        <f>SUM(BR24:BR29,BR34:BR35)</f>
        <v>19046.853296408113</v>
      </c>
      <c r="BS36" s="65">
        <f>SUM(BS24:BS29,BS34:BS35)</f>
        <v>4226.5532964081112</v>
      </c>
      <c r="BT36" s="65">
        <f>SUM(BT24:BT29,BT34:BT35)</f>
        <v>4256.253296408112</v>
      </c>
      <c r="BU36" s="65">
        <f>SUM(BU24:BU29,BU34:BU35)</f>
        <v>4264.3532964081114</v>
      </c>
      <c r="BV36" s="66">
        <f>SUM(BV24:BV29,BV34:BV35)</f>
        <v>4315.6532964081116</v>
      </c>
      <c r="BY36" s="197">
        <f t="shared" ref="BY36:CE36" si="29">SUM(BY24:BY29,BY34:BY35)</f>
        <v>4345.3532964081114</v>
      </c>
      <c r="BZ36" s="65">
        <f t="shared" si="29"/>
        <v>4375.0532964081112</v>
      </c>
      <c r="CA36" s="65">
        <f t="shared" si="29"/>
        <v>4291.3532964081114</v>
      </c>
      <c r="CB36" s="65">
        <f t="shared" si="29"/>
        <v>4434.4532964081109</v>
      </c>
      <c r="CC36" s="65">
        <f t="shared" si="29"/>
        <v>4331.8532964081114</v>
      </c>
      <c r="CD36" s="65">
        <f t="shared" si="29"/>
        <v>4493.8532964081114</v>
      </c>
      <c r="CE36" s="131">
        <f t="shared" si="29"/>
        <v>4480.3532964081114</v>
      </c>
      <c r="CF36" s="200">
        <f t="shared" si="20"/>
        <v>66861.939556897327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10000</v>
      </c>
      <c r="T37" s="44" t="str">
        <f>K22</f>
        <v>Frais de notaire ou d’avocat</v>
      </c>
      <c r="X37" s="113">
        <f>'Données à saisir'!C49</f>
        <v>120</v>
      </c>
      <c r="Y37" s="113">
        <f>'Données à saisir'!D49</f>
        <v>120</v>
      </c>
      <c r="Z37" s="236">
        <f>'Données à saisir'!E49</f>
        <v>120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184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231</v>
      </c>
      <c r="BP37" s="64"/>
      <c r="BQ37" s="64"/>
      <c r="BR37" s="65">
        <f>SUM(BR15:BR20)</f>
        <v>21480</v>
      </c>
      <c r="BS37" s="65">
        <f>SUM(BS15:BS20)</f>
        <v>3916</v>
      </c>
      <c r="BT37" s="65">
        <f>SUM(BT15:BT20)</f>
        <v>4202</v>
      </c>
      <c r="BU37" s="65">
        <f>SUM(BU15:BU20)</f>
        <v>4080</v>
      </c>
      <c r="BV37" s="66">
        <f>SUM(BV15:BV20)</f>
        <v>4774</v>
      </c>
      <c r="BY37" s="197">
        <f t="shared" ref="BY37:CE37" si="30">SUM(BY15:BY20)</f>
        <v>5060</v>
      </c>
      <c r="BZ37" s="65">
        <f t="shared" si="30"/>
        <v>5346</v>
      </c>
      <c r="CA37" s="65">
        <f t="shared" si="30"/>
        <v>3840</v>
      </c>
      <c r="CB37" s="65">
        <f t="shared" si="30"/>
        <v>5918</v>
      </c>
      <c r="CC37" s="65">
        <f t="shared" si="30"/>
        <v>4230</v>
      </c>
      <c r="CD37" s="65">
        <f t="shared" si="30"/>
        <v>6490</v>
      </c>
      <c r="CE37" s="131">
        <f t="shared" si="30"/>
        <v>6160</v>
      </c>
      <c r="CF37" s="200">
        <f t="shared" ref="CF37" si="31">SUM(BR37:CE37)</f>
        <v>75496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10000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186</v>
      </c>
      <c r="AX38" s="108"/>
      <c r="AY38" s="108"/>
      <c r="AZ38" s="170">
        <f>'Données à saisir'!D128</f>
        <v>30</v>
      </c>
      <c r="BA38" s="176">
        <f>BA12/365*$AZ38</f>
        <v>282.05753424657541</v>
      </c>
      <c r="BB38" s="177">
        <f>BB12/365*$AZ38</f>
        <v>324.36616438356168</v>
      </c>
      <c r="BC38" s="178">
        <f>BC12/365*$AZ38</f>
        <v>356.80278082191779</v>
      </c>
      <c r="BF38" s="179"/>
      <c r="BG38" s="179"/>
      <c r="BH38" s="179"/>
      <c r="BI38" s="179"/>
      <c r="BJ38" s="179"/>
      <c r="BK38" s="179"/>
      <c r="BL38" s="179"/>
      <c r="BO38" s="123" t="s">
        <v>230</v>
      </c>
      <c r="BR38" s="62">
        <v>0</v>
      </c>
      <c r="BS38" s="104">
        <f>BR40</f>
        <v>2433.1467035918868</v>
      </c>
      <c r="BT38" s="104">
        <f>BS40</f>
        <v>2122.5934071837755</v>
      </c>
      <c r="BU38" s="104">
        <f>BT40</f>
        <v>2068.3401107756636</v>
      </c>
      <c r="BV38" s="159">
        <f>BU40</f>
        <v>1883.9868143675521</v>
      </c>
      <c r="BY38" s="196">
        <f>BV40</f>
        <v>2342.3335179594405</v>
      </c>
      <c r="BZ38" s="104">
        <f t="shared" ref="BZ38:CE38" si="32">BY40</f>
        <v>3056.9802215513291</v>
      </c>
      <c r="CA38" s="104">
        <f t="shared" si="32"/>
        <v>4027.9269251432179</v>
      </c>
      <c r="CB38" s="104">
        <f t="shared" si="32"/>
        <v>3576.5736287351065</v>
      </c>
      <c r="CC38" s="104">
        <f t="shared" si="32"/>
        <v>5060.1203323269956</v>
      </c>
      <c r="CD38" s="104">
        <f t="shared" si="32"/>
        <v>4958.2670359188842</v>
      </c>
      <c r="CE38" s="132">
        <f t="shared" si="32"/>
        <v>6954.4137395107728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26000</v>
      </c>
      <c r="AH39" s="57">
        <f>'Données à saisir'!C134</f>
        <v>28000</v>
      </c>
      <c r="AI39" s="53">
        <f>'Données à saisir'!D134</f>
        <v>31000</v>
      </c>
      <c r="AW39" s="166" t="s">
        <v>189</v>
      </c>
      <c r="AX39" s="165"/>
      <c r="AY39" s="64"/>
      <c r="AZ39" s="167"/>
      <c r="BA39" s="173">
        <f>BA36-BA38</f>
        <v>-282.05753424657541</v>
      </c>
      <c r="BB39" s="174">
        <f>BB36-BB38</f>
        <v>-324.36616438356168</v>
      </c>
      <c r="BC39" s="175">
        <f>BC36-BC38</f>
        <v>-356.80278082191779</v>
      </c>
      <c r="BF39" s="179"/>
      <c r="BG39" s="179"/>
      <c r="BH39" s="179"/>
      <c r="BI39" s="179"/>
      <c r="BJ39" s="179"/>
      <c r="BK39" s="179"/>
      <c r="BL39" s="179"/>
      <c r="BO39" s="70" t="s">
        <v>237</v>
      </c>
      <c r="BP39" s="50"/>
      <c r="BQ39" s="50"/>
      <c r="BR39" s="57">
        <f>BR37-BR36</f>
        <v>2433.1467035918868</v>
      </c>
      <c r="BS39" s="57">
        <f t="shared" ref="BS39:CE39" si="33">BS37-BS36</f>
        <v>-310.55329640811124</v>
      </c>
      <c r="BT39" s="57">
        <f t="shared" si="33"/>
        <v>-54.253296408111964</v>
      </c>
      <c r="BU39" s="57">
        <f t="shared" si="33"/>
        <v>-184.35329640811142</v>
      </c>
      <c r="BV39" s="68">
        <f t="shared" si="33"/>
        <v>458.3467035918884</v>
      </c>
      <c r="BW39" s="1"/>
      <c r="BX39" s="1"/>
      <c r="BY39" s="215">
        <f t="shared" si="33"/>
        <v>714.64670359188858</v>
      </c>
      <c r="BZ39" s="57">
        <f t="shared" si="33"/>
        <v>970.94670359188876</v>
      </c>
      <c r="CA39" s="57">
        <f t="shared" si="33"/>
        <v>-451.35329640811142</v>
      </c>
      <c r="CB39" s="57">
        <f t="shared" si="33"/>
        <v>1483.5467035918891</v>
      </c>
      <c r="CC39" s="57">
        <f t="shared" si="33"/>
        <v>-101.85329640811142</v>
      </c>
      <c r="CD39" s="57">
        <f t="shared" si="33"/>
        <v>1996.1467035918886</v>
      </c>
      <c r="CE39" s="74">
        <f t="shared" si="33"/>
        <v>1679.6467035918886</v>
      </c>
      <c r="CF39" s="212"/>
    </row>
    <row r="40" spans="2:84" ht="15.1" customHeight="1" thickBot="1" x14ac:dyDescent="0.3">
      <c r="K40" s="38" t="s">
        <v>71</v>
      </c>
      <c r="N40" s="97" t="s">
        <v>136</v>
      </c>
      <c r="O40" s="97" t="s">
        <v>137</v>
      </c>
      <c r="Q40" s="41">
        <f>SUM(Q41:Q43)</f>
        <v>7850</v>
      </c>
      <c r="T40" s="107" t="s">
        <v>148</v>
      </c>
      <c r="U40" s="34"/>
      <c r="V40" s="34"/>
      <c r="W40" s="34"/>
      <c r="X40" s="110">
        <f>SUM(X42:X46)</f>
        <v>1400</v>
      </c>
      <c r="Y40" s="110">
        <f>SUM(Y42:Y46)</f>
        <v>1400</v>
      </c>
      <c r="Z40" s="237">
        <f>SUM(Z42:Z46)</f>
        <v>1400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5982.6379999999999</v>
      </c>
      <c r="AH40" s="104">
        <f>IF('Données à saisir'!C136="Oui",'Données à saisir'!H147,'Données à saisir'!C147)</f>
        <v>13702.544399999999</v>
      </c>
      <c r="AI40" s="120">
        <f>IF('Données à saisir'!C136="Oui",'Données à saisir'!I147,'Données à saisir'!D147)</f>
        <v>15072.798839999999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238</v>
      </c>
      <c r="BP40" s="64"/>
      <c r="BQ40" s="64"/>
      <c r="BR40" s="65">
        <f>BR39</f>
        <v>2433.1467035918868</v>
      </c>
      <c r="BS40" s="65">
        <f>BS38+BS39</f>
        <v>2122.5934071837755</v>
      </c>
      <c r="BT40" s="65">
        <f>BT38+BT39</f>
        <v>2068.3401107756636</v>
      </c>
      <c r="BU40" s="65">
        <f>BU38+BU39</f>
        <v>1883.9868143675521</v>
      </c>
      <c r="BV40" s="66">
        <f t="shared" ref="BV40:CE40" si="34">BV38+BV39</f>
        <v>2342.3335179594405</v>
      </c>
      <c r="BY40" s="197">
        <f t="shared" si="34"/>
        <v>3056.9802215513291</v>
      </c>
      <c r="BZ40" s="65">
        <f t="shared" si="34"/>
        <v>4027.9269251432179</v>
      </c>
      <c r="CA40" s="65">
        <f t="shared" si="34"/>
        <v>3576.5736287351065</v>
      </c>
      <c r="CB40" s="65">
        <f t="shared" si="34"/>
        <v>5060.1203323269956</v>
      </c>
      <c r="CC40" s="65">
        <f t="shared" si="34"/>
        <v>4958.2670359188842</v>
      </c>
      <c r="CD40" s="65">
        <f t="shared" si="34"/>
        <v>6954.4137395107728</v>
      </c>
      <c r="CE40" s="131">
        <f t="shared" si="34"/>
        <v>8634.0604431026622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0.04</v>
      </c>
      <c r="O41" s="96">
        <f>IF(ISBLANK('Données à saisir'!D61),"",'Données à saisir'!D61)</f>
        <v>84</v>
      </c>
      <c r="Q41" s="42">
        <f>IF(ISBLANK('Données à saisir'!B61),0,'Données à saisir'!B61)</f>
        <v>7850</v>
      </c>
      <c r="T41" s="35"/>
      <c r="X41" s="234"/>
      <c r="Y41" s="234"/>
      <c r="Z41" s="235"/>
      <c r="AC41" s="63" t="s">
        <v>128</v>
      </c>
      <c r="AD41" s="64"/>
      <c r="AE41" s="64"/>
      <c r="AF41" s="64"/>
      <c r="AG41" s="65">
        <f>AG35-SUM(AG36:AG40)</f>
        <v>7371.6620000000039</v>
      </c>
      <c r="AH41" s="65">
        <f t="shared" ref="AH41:AI41" si="35">AH35-SUM(AH36:AH40)</f>
        <v>4417.9005999999936</v>
      </c>
      <c r="AI41" s="66">
        <f t="shared" si="35"/>
        <v>5328.2906599999988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300</v>
      </c>
      <c r="Y42" s="113">
        <f>'Données à saisir'!D50</f>
        <v>300</v>
      </c>
      <c r="Z42" s="236">
        <f>'Données à saisir'!E50</f>
        <v>300</v>
      </c>
      <c r="AC42" s="38" t="s">
        <v>132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616.17298546877225</v>
      </c>
      <c r="AH42" s="57">
        <f>'Données à saisir'!C90+SUM('Données à saisir'!H70:H72)</f>
        <v>616.17298546877225</v>
      </c>
      <c r="AI42" s="53">
        <f>'Données à saisir'!D90+SUM('Données à saisir'!I70:I72)</f>
        <v>636.17298546877225</v>
      </c>
      <c r="AL42" s="63" t="s">
        <v>160</v>
      </c>
      <c r="AM42" s="64"/>
      <c r="AN42" s="64"/>
      <c r="AO42" s="131">
        <f>AO27</f>
        <v>4685.489014531232</v>
      </c>
      <c r="AP42" s="136"/>
      <c r="AQ42" s="131">
        <f>AQ27</f>
        <v>1731.7276145312212</v>
      </c>
      <c r="AR42" s="136"/>
      <c r="AS42" s="128">
        <f>AS27</f>
        <v>2622.1176745312264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2070</v>
      </c>
      <c r="AH43" s="57">
        <f>'Données à saisir'!D39</f>
        <v>2070</v>
      </c>
      <c r="AI43" s="53">
        <f>'Données à saisir'!E39</f>
        <v>2070</v>
      </c>
      <c r="AL43" s="122" t="s">
        <v>161</v>
      </c>
      <c r="AM43" s="1"/>
      <c r="AN43" s="1"/>
      <c r="AO43" s="132">
        <f>AO22</f>
        <v>2070</v>
      </c>
      <c r="AP43" s="137"/>
      <c r="AQ43" s="132">
        <f>AQ22</f>
        <v>2070</v>
      </c>
      <c r="AR43" s="137"/>
      <c r="AS43" s="127">
        <f>AS22</f>
        <v>2070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600</v>
      </c>
      <c r="Y44" s="113">
        <f>'Données à saisir'!D52</f>
        <v>600</v>
      </c>
      <c r="Z44" s="236">
        <f>'Données à saisir'!E52</f>
        <v>600</v>
      </c>
      <c r="AC44" s="63" t="s">
        <v>129</v>
      </c>
      <c r="AD44" s="64"/>
      <c r="AE44" s="64"/>
      <c r="AF44" s="64"/>
      <c r="AG44" s="65">
        <f>AG41-AG42-AG43</f>
        <v>4685.489014531232</v>
      </c>
      <c r="AH44" s="65">
        <f t="shared" ref="AH44:AI44" si="37">AH41-AH42-AH43</f>
        <v>1731.7276145312212</v>
      </c>
      <c r="AI44" s="66">
        <f t="shared" si="37"/>
        <v>2622.1176745312268</v>
      </c>
      <c r="AL44" s="63" t="s">
        <v>158</v>
      </c>
      <c r="AM44" s="64"/>
      <c r="AN44" s="64"/>
      <c r="AO44" s="131">
        <f>AO42+AO43</f>
        <v>6755.489014531232</v>
      </c>
      <c r="AP44" s="136"/>
      <c r="AQ44" s="131">
        <f t="shared" ref="AQ44:AS44" si="38">AQ42+AQ43</f>
        <v>3801.7276145312212</v>
      </c>
      <c r="AR44" s="136"/>
      <c r="AS44" s="128">
        <f t="shared" si="38"/>
        <v>4692.1176745312259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200</v>
      </c>
      <c r="Y45" s="113">
        <f>'Données à saisir'!D53</f>
        <v>200</v>
      </c>
      <c r="Z45" s="236">
        <f>'Données à saisir'!E53</f>
        <v>200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/>
      </c>
      <c r="AG45" s="57" t="str">
        <f>IF(AC45="Impôt sur les sociétés",IF(AG44&lt;0,0,IF(AG44&gt;38120,38120*0.15+(AG44-38120)*25%,AG44*0.15)),"")</f>
        <v/>
      </c>
      <c r="AH45" s="57" t="str">
        <f>IF(AC45="Impôt sur les sociétés",IF(AH44&lt;0,0,IF(AH44&gt;38120,38120*0.15+(AH44-38120)*25%,AH44*0.15)),"")</f>
        <v/>
      </c>
      <c r="AI45" s="53" t="str">
        <f>+IF(AC45="Impôt sur les sociétés",IF(AI44&lt;0,0,IF(AI44&gt;38120,38120*0.15+(AI44-38120)*25%,AI44*0.15)),"")</f>
        <v/>
      </c>
      <c r="AL45" s="123" t="s">
        <v>162</v>
      </c>
      <c r="AO45" s="132">
        <f>IF(ISERROR(SUM('Données à saisir'!J70:J72)),0,SUM('Données à saisir'!J70:J72))</f>
        <v>1121.4285714285713</v>
      </c>
      <c r="AP45" s="137"/>
      <c r="AQ45" s="132">
        <f>SUM('Données à saisir'!K70:K72)</f>
        <v>1121.4285714285713</v>
      </c>
      <c r="AR45" s="137"/>
      <c r="AS45" s="127">
        <f>SUM('Données à saisir'!L70:L72)</f>
        <v>1121.4285714285713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300</v>
      </c>
      <c r="Y46" s="113">
        <f>'Données à saisir'!D54</f>
        <v>300</v>
      </c>
      <c r="Z46" s="236">
        <f>'Données à saisir'!E54</f>
        <v>300</v>
      </c>
      <c r="AC46" s="39"/>
      <c r="AG46" s="56"/>
      <c r="AH46" s="56"/>
      <c r="AI46" s="53"/>
      <c r="AL46" s="121" t="s">
        <v>163</v>
      </c>
      <c r="AM46" s="47"/>
      <c r="AN46" s="47"/>
      <c r="AO46" s="133">
        <f>AO44-AO45</f>
        <v>5634.0604431026604</v>
      </c>
      <c r="AP46" s="138"/>
      <c r="AQ46" s="133">
        <f>AQ44-AQ45</f>
        <v>2680.2990431026501</v>
      </c>
      <c r="AR46" s="138"/>
      <c r="AS46" s="129">
        <f>AS44-AS45</f>
        <v>3570.6891031026544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45057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253</v>
      </c>
      <c r="AD47" s="64"/>
      <c r="AE47" s="64"/>
      <c r="AF47" s="64"/>
      <c r="AG47" s="65">
        <f>AG44-SUM(AG45)</f>
        <v>4685.489014531232</v>
      </c>
      <c r="AH47" s="65">
        <f t="shared" ref="AH47:AI47" si="39">AH44-SUM(AH45)</f>
        <v>1731.7276145312212</v>
      </c>
      <c r="AI47" s="66">
        <f t="shared" si="39"/>
        <v>2622.1176745312268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17850</v>
      </c>
      <c r="T48" s="109" t="s">
        <v>149</v>
      </c>
      <c r="U48" s="108"/>
      <c r="V48" s="108"/>
      <c r="W48" s="108"/>
      <c r="X48" s="112">
        <f>SUM(X31,X40)</f>
        <v>2070</v>
      </c>
      <c r="Y48" s="112">
        <f>SUM(Y31,Y40)</f>
        <v>2070</v>
      </c>
      <c r="Z48" s="118">
        <f>SUM(Z31,Z40)</f>
        <v>2070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270</v>
      </c>
      <c r="H49" s="3">
        <v>1</v>
      </c>
      <c r="K49" s="207" t="s">
        <v>270</v>
      </c>
      <c r="Q49" s="3">
        <v>2</v>
      </c>
      <c r="T49" s="207" t="s">
        <v>270</v>
      </c>
      <c r="Z49" s="3">
        <v>3</v>
      </c>
      <c r="AB49" s="207"/>
      <c r="AC49" s="207" t="s">
        <v>270</v>
      </c>
      <c r="AI49" s="3">
        <v>4</v>
      </c>
      <c r="AL49" s="207" t="s">
        <v>270</v>
      </c>
      <c r="AT49" s="3">
        <v>5</v>
      </c>
      <c r="AW49" s="207" t="s">
        <v>270</v>
      </c>
      <c r="BC49" s="3">
        <v>6</v>
      </c>
      <c r="BF49" s="207" t="s">
        <v>270</v>
      </c>
      <c r="BL49" s="3">
        <v>7</v>
      </c>
      <c r="BO49" s="207" t="s">
        <v>270</v>
      </c>
      <c r="BV49" s="3">
        <v>8</v>
      </c>
      <c r="BY49" s="207" t="s">
        <v>270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36668.12701453123</v>
      </c>
      <c r="AH52" s="90">
        <f>AH35-SUM(AH36:AH38,AH42:AH43)</f>
        <v>43434.27201453122</v>
      </c>
      <c r="AI52" s="90">
        <f>AI35-SUM(AI36:AI38,AI42:AI43)</f>
        <v>48694.916514531229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271</v>
      </c>
    </row>
    <row r="7" spans="1:9" ht="9" customHeight="1" x14ac:dyDescent="0.3">
      <c r="A7" s="251"/>
    </row>
    <row r="8" spans="1:9" ht="15.75" x14ac:dyDescent="0.25">
      <c r="B8" s="269" t="s">
        <v>272</v>
      </c>
    </row>
    <row r="9" spans="1:9" x14ac:dyDescent="0.25">
      <c r="B9" s="1"/>
      <c r="C9" s="341" t="s">
        <v>276</v>
      </c>
      <c r="D9" s="341"/>
      <c r="E9" s="341"/>
      <c r="F9" s="341"/>
      <c r="G9" s="341"/>
      <c r="H9" s="341"/>
      <c r="I9" s="254" t="s">
        <v>263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294</v>
      </c>
    </row>
    <row r="13" spans="1:9" ht="11.95" customHeight="1" x14ac:dyDescent="0.25"/>
    <row r="14" spans="1:9" ht="13.5" customHeight="1" x14ac:dyDescent="0.3">
      <c r="B14" s="269" t="s">
        <v>296</v>
      </c>
    </row>
    <row r="15" spans="1:9" ht="16.45" customHeight="1" x14ac:dyDescent="0.25">
      <c r="C15" s="341" t="s">
        <v>295</v>
      </c>
      <c r="D15" s="341"/>
      <c r="E15" s="341"/>
      <c r="F15" s="341"/>
      <c r="G15" s="341"/>
      <c r="H15" s="341"/>
      <c r="I15" s="254" t="s">
        <v>263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273</v>
      </c>
    </row>
    <row r="20" spans="1:1" ht="15.1" x14ac:dyDescent="0.25">
      <c r="A20" s="267" t="s">
        <v>275</v>
      </c>
    </row>
    <row r="21" spans="1:1" x14ac:dyDescent="0.25">
      <c r="A21" s="268" t="s">
        <v>274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2023-05-11T09:40:13Z</dcterms:modified>
</cp:coreProperties>
</file>