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9555FF70-CCCA-4A55-B732-528B7A556D95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B133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<sst xmlns="http://schemas.openxmlformats.org/spreadsheetml/2006/main" count="451" uniqueCount="302">
  <si>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</si>
  <si>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</si>
  <si>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</si>
  <si>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</si>
  <si>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</si>
  <si>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</si>
  <si>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</si>
  <si>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</si>
  <si>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</si>
  <si>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</si>
  <si>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</si>
  <si>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</si>
  <si>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</si>
  <si>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</si>
  <si>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</si>
  <si>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</si>
  <si>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</si>
  <si>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</si>
  <si>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</si>
  <si>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</si>
  <si>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</si>
  <si>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</si>
  <si>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</si>
  <si>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</si>
  <si>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</si>
  <si>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</si>
  <si>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</si>
  <si>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</si>
  <si>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</si>
  <si>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</si>
  <si>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</si>
  <si>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</si>
  <si>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</si>
  <si>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</si>
  <si>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</si>
  <si>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</si>
  <si>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</si>
  <si>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</si>
  <si>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</si>
  <si>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</si>
  <si>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</si>
  <si>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</si>
  <si>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</si>
  <si>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</si>
  <si>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</si>
  <si>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</si>
  <si>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</si>
  <si>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</si>
  <si>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</si>
  <si>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</si>
  <si>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</si>
  <si>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</si>
  <si>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</si>
  <si>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</si>
  <si>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</si>
  <si>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</si>
  <si>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</si>
  <si>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</si>
  <si>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</si>
  <si>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</si>
  <si>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</si>
  <si>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</si>
  <si>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</si>
  <si>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</si>
  <si>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</si>
  <si>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</si>
  <si>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</si>
  <si>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</si>
  <si>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</si>
  <si>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</si>
  <si>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</si>
  <si>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</si>
  <si>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</si>
  <si>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</si>
  <si>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</si>
  <si>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</si>
  <si>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</si>
  <si>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</si>
  <si>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</si>
  <si>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</si>
  <si>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</si>
  <si>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</si>
  <si>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</si>
  <si>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</si>
  <si>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</si>
  <si>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</si>
  <si>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</si>
  <si>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</si>
  <si>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</si>
  <si>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</si>
  <si>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</si>
  <si>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</si>
  <si>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</si>
  <si>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</si>
  <si>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</si>
  <si>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</si>
  <si>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</si>
  <si>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</si>
  <si>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</si>
  <si>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</si>
  <si>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</si>
  <si>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</si>
  <si>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</si>
  <si>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</si>
  <si>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</si>
  <si>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</si>
  <si>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</si>
  <si>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</si>
  <si>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</si>
  <si>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</si>
  <si>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</si>
  <si>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</si>
  <si>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</si>
  <si>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</si>
  <si>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</si>
  <si>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</si>
  <si>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</si>
  <si>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</si>
  <si>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</si>
  <si>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</si>
  <si>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</si>
  <si>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</si>
  <si>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</si>
  <si>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</si>
  <si>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</si>
  <si>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</si>
  <si>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</si>
  <si>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</si>
  <si>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</si>
  <si>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</si>
  <si>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</si>
  <si>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</si>
  <si>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</si>
  <si>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</si>
  <si>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</si>
  <si>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</si>
  <si>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</si>
  <si>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</si>
  <si>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</si>
  <si>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</si>
  <si>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</si>
  <si>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</si>
  <si>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</si>
  <si>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</si>
  <si>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</si>
  <si>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</si>
  <si>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</si>
  <si>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</si>
  <si>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</si>
  <si>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</si>
  <si>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</si>
  <si>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</si>
  <si>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</si>
  <si>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</si>
  <si>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</si>
  <si>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</si>
  <si>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</si>
  <si>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</si>
  <si>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</si>
  <si>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</si>
  <si>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</si>
  <si>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</si>
  <si>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</si>
  <si>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</si>
  <si>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</si>
  <si>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</si>
  <si>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</si>
  <si>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</si>
  <si>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</si>
  <si>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</si>
  <si>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</si>
  <si>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</si>
  <si>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</si>
  <si>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</si>
  <si>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</si>
  <si>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</si>
  <si>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</si>
  <si>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</si>
  <si>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</si>
  <si>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</si>
  <si>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</si>
  <si>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</si>
  <si>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</si>
  <si>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</si>
  <si>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</si>
  <si>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</si>
  <si>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</si>
  <si>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</si>
  <si>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</si>
  <si>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</si>
  <si>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</si>
  <si>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</si>
  <si>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</si>
  <si>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</si>
  <si>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</si>
  <si>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</si>
  <si>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</si>
  <si>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</si>
  <si>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</si>
  <si>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</si>
  <si>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</si>
  <si>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</si>
  <si>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</si>
  <si>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</si>
  <si>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</si>
  <si>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</si>
  <si>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</si>
  <si>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</si>
  <si>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</si>
  <si>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</si>
  <si>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</si>
  <si>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</si>
  <si>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</si>
  <si>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</si>
  <si>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</si>
  <si>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</si>
  <si>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</si>
  <si>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</si>
  <si>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</si>
  <si>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</si>
  <si>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</si>
  <si>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</si>
  <si>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</si>
  <si>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</si>
  <si>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</si>
  <si>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</si>
  <si>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</si>
  <si>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</si>
  <si>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</si>
  <si>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</si>
  <si>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</si>
  <si>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</si>
  <si>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</si>
  <si>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</si>
  <si>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</si>
  <si>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</si>
  <si>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</si>
  <si>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</si>
  <si>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</si>
  <si>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</si>
  <si>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</si>
  <si>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</si>
  <si>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</si>
  <si>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</si>
  <si>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</si>
  <si>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</si>
  <si>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</si>
  <si>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</si>
  <si>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</si>
  <si>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</si>
  <si>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</si>
  <si>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</si>
  <si>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</si>
  <si>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</si>
  <si>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</si>
  <si>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</si>
  <si>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</si>
  <si>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</si>
  <si>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</si>
  <si>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</si>
  <si>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</si>
  <si>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</si>
  <si>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</si>
  <si>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</si>
  <si>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</si>
  <si>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</si>
  <si>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</si>
  <si>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</si>
  <si>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</si>
  <si>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</si>
  <si>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</si>
  <si>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</si>
  <si>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</si>
  <si>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</si>
  <si>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</si>
  <si>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</si>
  <si>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</si>
  <si>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</si>
  <si>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</si>
  <si>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</si>
  <si>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</si>
  <si>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</si>
  <si>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</si>
  <si>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</si>
  <si>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</si>
  <si>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</si>
  <si>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</si>
  <si>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</si>
  <si>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</si>
  <si>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</si>
  <si>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</si>
  <si>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</si>
  <si>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</si>
  <si>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</si>
  <si>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</si>
  <si>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</si>
  <si>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</si>
  <si>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</si>
  <si>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</si>
  <si>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</si>
  <si>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Droit au bail, pas de porte</t>
  </si>
  <si>
    <t>Cabinet de 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</si>
</sst>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91"/>
      <c r="I5" s="291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" customHeight="1" x14ac:dyDescent="0.25">
      <c r="A7" s="275" t="s">
        <v>263</v>
      </c>
      <c r="B7" s="289" t="s">
        <v>301</v>
      </c>
      <c r="C7" s="289"/>
      <c r="D7" s="5" t="s">
        <v>3</v>
      </c>
      <c r="G7" s="232"/>
      <c r="H7" s="292"/>
      <c r="I7" s="292"/>
      <c r="J7" t="s">
        <v>111</v>
      </c>
    </row>
    <row r="8" spans="1:14" ht="15.1" customHeight="1" x14ac:dyDescent="0.25">
      <c r="A8" s="275" t="s">
        <v>0</v>
      </c>
      <c r="B8" s="289" t="s">
        <v>111</v>
      </c>
      <c r="C8" s="289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88" t="s">
        <v>103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700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300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>
        <v>3500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800</v>
      </c>
      <c r="C26" s="5" t="s">
        <v>10</v>
      </c>
      <c r="G26" s="232"/>
      <c r="H26" s="232"/>
    </row>
    <row r="27" spans="1:8" x14ac:dyDescent="0.25">
      <c r="A27" s="276" t="s">
        <v>17</v>
      </c>
      <c r="B27" s="255">
        <v>2500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5000</v>
      </c>
      <c r="C29" s="5" t="s">
        <v>11</v>
      </c>
    </row>
    <row r="30" spans="1:8" x14ac:dyDescent="0.25">
      <c r="A30" s="276" t="s">
        <v>38</v>
      </c>
      <c r="B30" s="255">
        <v>3500</v>
      </c>
      <c r="C30" s="5" t="s">
        <v>12</v>
      </c>
    </row>
    <row r="31" spans="1:8" x14ac:dyDescent="0.25">
      <c r="A31" s="276" t="s">
        <v>13</v>
      </c>
      <c r="B31" s="255">
        <v>1500</v>
      </c>
      <c r="C31" s="5" t="s">
        <v>14</v>
      </c>
    </row>
    <row r="32" spans="1:8" x14ac:dyDescent="0.25">
      <c r="A32" s="276" t="s">
        <v>15</v>
      </c>
      <c r="B32" s="255"/>
      <c r="C32" s="5" t="s">
        <v>16</v>
      </c>
    </row>
    <row r="33" spans="1:13" ht="15.25" thickBot="1" x14ac:dyDescent="0.3">
      <c r="A33" s="276" t="s">
        <v>39</v>
      </c>
      <c r="B33" s="255">
        <v>7000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26600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7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16100</v>
      </c>
      <c r="C39" s="116">
        <f t="shared" ref="C39:C54" si="0">IF(ISERROR($B39/$C$36),0,$B39/$C$36)</f>
        <v>2300</v>
      </c>
      <c r="D39" s="116">
        <f>IF($B39&gt;(SUM(C39:$C39)),IF(ISERROR($B39/$C$36),"",$B39/$C$36),0)</f>
        <v>2300</v>
      </c>
      <c r="E39" s="116">
        <f>IF($B39&gt;(SUM($C39:D39)),IF(ISERROR($B39/$C$36),"",$B39/$C$36),0)</f>
        <v>2300</v>
      </c>
      <c r="F39" s="116">
        <f>IF($B39&gt;(SUM($C39:E39)),IF(ISERROR($B39/$C$36),"",$B39/$C$36),0)</f>
        <v>2300</v>
      </c>
      <c r="G39" s="116">
        <f>IF($B39&gt;(SUM($C39:F39)),IF(ISERROR($B39/$C$36),"",$B39/$C$36),0)</f>
        <v>2300</v>
      </c>
      <c r="H39" s="116">
        <f>IF($B39&gt;(SUM($C39:G39)),IF(ISERROR($B39/$C$36),"",$B39/$C$36),0)</f>
        <v>2300</v>
      </c>
      <c r="I39" s="116">
        <f>IF($B39&gt;(SUM($C39:H39)),IF(ISERROR($B39/$C$36),"",$B39/$C$36),0)</f>
        <v>2300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16100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100</v>
      </c>
      <c r="I40" s="75">
        <f>IF($B40&gt;(SUM($C40:H40)),IF(ISERROR($B40/$C$36),"",$B40/$C$36),0)</f>
        <v>100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5000</v>
      </c>
      <c r="C52" s="75">
        <f t="shared" si="0"/>
        <v>714.28571428571433</v>
      </c>
      <c r="D52" s="75">
        <f>IF($B52&gt;(SUM(C52:$C52)),IF(ISERROR($B52/$C$36),"",$B52/$C$36),0)</f>
        <v>714.28571428571433</v>
      </c>
      <c r="E52" s="75">
        <f>IF($B52&gt;(SUM($C52:D52)),IF(ISERROR($B52/$C$36),"",$B52/$C$36),0)</f>
        <v>714.28571428571433</v>
      </c>
      <c r="F52" s="75">
        <f>IF($B52&gt;(SUM($C52:E52)),IF(ISERROR($B52/$C$36),"",$B52/$C$36),0)</f>
        <v>714.28571428571433</v>
      </c>
      <c r="G52" s="75">
        <f>IF($B52&gt;(SUM($C52:F52)),IF(ISERROR($B52/$C$36),"",$B52/$C$36),0)</f>
        <v>714.28571428571433</v>
      </c>
      <c r="H52" s="75">
        <f>IF($B52&gt;(SUM($C52:G52)),IF(ISERROR($B52/$C$36),"",$B52/$C$36),0)</f>
        <v>714.28571428571433</v>
      </c>
      <c r="I52" s="75">
        <f>IF($B52&gt;(SUM($C52:H52)),IF(ISERROR($B52/$C$36),"",$B52/$C$36),0)</f>
        <v>714.28571428571433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5000.0000000000009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3500</v>
      </c>
      <c r="C53" s="75">
        <f t="shared" si="0"/>
        <v>500</v>
      </c>
      <c r="D53" s="75">
        <f>IF($B53&gt;(SUM(C53:$C53)),IF(ISERROR($B53/$C$36),"",$B53/$C$36),0)</f>
        <v>500</v>
      </c>
      <c r="E53" s="75">
        <f>IF($B53&gt;(SUM($C53:D53)),IF(ISERROR($B53/$C$36),"",$B53/$C$36),0)</f>
        <v>500</v>
      </c>
      <c r="F53" s="75">
        <f>IF($B53&gt;(SUM($C53:E53)),IF(ISERROR($B53/$C$36),"",$B53/$C$36),0)</f>
        <v>500</v>
      </c>
      <c r="G53" s="75">
        <f>IF($B53&gt;(SUM($C53:F53)),IF(ISERROR($B53/$C$36),"",$B53/$C$36),0)</f>
        <v>500</v>
      </c>
      <c r="H53" s="75">
        <f>IF($B53&gt;(SUM($C53:G53)),IF(ISERROR($B53/$C$36),"",$B53/$C$36),0)</f>
        <v>500</v>
      </c>
      <c r="I53" s="75">
        <f>IF($B53&gt;(SUM($C53:H53)),IF(ISERROR($B53/$C$36),"",$B53/$C$36),0)</f>
        <v>500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15000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f>B34-B59</f>
        <v>11600</v>
      </c>
      <c r="C61" s="257">
        <v>0.04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26600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158.55815350328223</v>
      </c>
      <c r="C70" s="79">
        <f>B70*D61</f>
        <v>13318.884894275707</v>
      </c>
      <c r="D70" s="82">
        <f>IF(ISERROR(B61/D61),0,B61/D61)</f>
        <v>138.0952380952381</v>
      </c>
      <c r="E70" s="152">
        <f>B70-D70</f>
        <v>20.462915408044125</v>
      </c>
      <c r="F70" s="80">
        <f>E70*D61</f>
        <v>1718.8848942757065</v>
      </c>
      <c r="G70" s="153">
        <f>IF($D61&gt;12,$E70*12,$E70*$D61)</f>
        <v>245.5549848965295</v>
      </c>
      <c r="H70" s="153">
        <f>IF($D61-12&lt;0,0,IF($D61&gt;24,$E70*12,($D61-12)*$E70))</f>
        <v>245.5549848965295</v>
      </c>
      <c r="I70" s="153">
        <f>IF($D61-24&lt;0,0,IF($D61&gt;36,$E70*12,($D61-24)*$E70))</f>
        <v>245.5549848965295</v>
      </c>
      <c r="J70" s="153">
        <f>IF($D61&gt;12,$D70*12,$D70*$D61)</f>
        <v>1657.1428571428573</v>
      </c>
      <c r="K70" s="153">
        <f>IF($D61-12&lt;0,0,IF($D61&gt;24,$D70*12,($D61-12)*$D70))</f>
        <v>1657.1428571428573</v>
      </c>
      <c r="L70" s="153">
        <f>IF($D61-24&lt;0,0,IF($D61&gt;36,$D70*12,($D61-24)*$D70))</f>
        <v>1657.1428571428573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245.5549848965295</v>
      </c>
      <c r="J73" s="203">
        <f t="shared" si="17"/>
        <v>1657.1428571428573</v>
      </c>
      <c r="K73" s="203">
        <f t="shared" si="17"/>
        <v>1657.1428571428573</v>
      </c>
      <c r="L73" s="203">
        <f t="shared" si="17"/>
        <v>1657.1428571428573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550</v>
      </c>
      <c r="C77" s="260">
        <v>580</v>
      </c>
      <c r="D77" s="261">
        <v>600</v>
      </c>
    </row>
    <row r="78" spans="1:12" ht="15.1" customHeight="1" x14ac:dyDescent="0.25">
      <c r="A78" s="276" t="s">
        <v>20</v>
      </c>
      <c r="B78" s="259">
        <v>1100</v>
      </c>
      <c r="C78" s="260">
        <v>1300</v>
      </c>
      <c r="D78" s="261">
        <v>1500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900</v>
      </c>
      <c r="C80" s="260">
        <v>950</v>
      </c>
      <c r="D80" s="261">
        <v>1000</v>
      </c>
      <c r="G80" s="233"/>
      <c r="H80" s="233"/>
    </row>
    <row r="81" spans="1:8" ht="15.1" customHeight="1" x14ac:dyDescent="0.25">
      <c r="A81" s="276" t="s">
        <v>21</v>
      </c>
      <c r="B81" s="259">
        <v>2500</v>
      </c>
      <c r="C81" s="260">
        <v>3200</v>
      </c>
      <c r="D81" s="261">
        <v>4000</v>
      </c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4100</v>
      </c>
      <c r="D82" s="261">
        <v>4200</v>
      </c>
      <c r="G82" s="233"/>
      <c r="H82" s="233"/>
    </row>
    <row r="83" spans="1:8" ht="15.1" customHeight="1" x14ac:dyDescent="0.25">
      <c r="A83" s="276" t="s">
        <v>24</v>
      </c>
      <c r="B83" s="259">
        <v>300</v>
      </c>
      <c r="C83" s="260">
        <v>1000</v>
      </c>
      <c r="D83" s="261">
        <v>1500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1800</v>
      </c>
      <c r="C84" s="260">
        <v>2000</v>
      </c>
      <c r="D84" s="261">
        <v>2200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1000</v>
      </c>
      <c r="C85" s="260">
        <v>1100</v>
      </c>
      <c r="D85" s="261">
        <v>1200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1200</v>
      </c>
      <c r="C86" s="260">
        <v>1300</v>
      </c>
      <c r="D86" s="261">
        <v>1400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5700</v>
      </c>
      <c r="C87" s="260">
        <v>6000</v>
      </c>
      <c r="D87" s="261">
        <v>6000</v>
      </c>
      <c r="E87" s="5"/>
      <c r="G87" s="233"/>
      <c r="H87" s="233"/>
    </row>
    <row r="88" spans="1:8" x14ac:dyDescent="0.25">
      <c r="A88" s="276" t="s">
        <v>28</v>
      </c>
      <c r="B88" s="259">
        <v>27000</v>
      </c>
      <c r="C88" s="260">
        <v>27500</v>
      </c>
      <c r="D88" s="261">
        <v>28000</v>
      </c>
      <c r="E88" s="5"/>
    </row>
    <row r="89" spans="1:8" x14ac:dyDescent="0.25">
      <c r="A89" s="276" t="s">
        <v>29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30</v>
      </c>
      <c r="B90" s="259">
        <v>1800</v>
      </c>
      <c r="C90" s="260">
        <v>1900</v>
      </c>
      <c r="D90" s="261">
        <v>2000</v>
      </c>
      <c r="E90" s="5"/>
    </row>
    <row r="91" spans="1:8" x14ac:dyDescent="0.25">
      <c r="A91" s="276" t="s">
        <v>44</v>
      </c>
      <c r="B91" s="259"/>
      <c r="C91" s="260">
        <v>1000</v>
      </c>
      <c r="D91" s="261">
        <v>1050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/>
      <c r="B93" s="259"/>
      <c r="C93" s="260"/>
      <c r="D93" s="261"/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51050</v>
      </c>
      <c r="C97" s="10">
        <f>SUM(C77:C95)</f>
        <v>55380</v>
      </c>
      <c r="D97" s="10">
        <f>SUM(D77:D95)</f>
        <v>58350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22</v>
      </c>
      <c r="H103" s="255">
        <v>400</v>
      </c>
      <c r="I103" s="12">
        <f>G103*H103</f>
        <v>8800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500</v>
      </c>
      <c r="I104" s="12">
        <f t="shared" ref="I104:I114" si="19">G104*H104</f>
        <v>10000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22</v>
      </c>
      <c r="H105" s="255">
        <v>600</v>
      </c>
      <c r="I105" s="12">
        <f t="shared" si="19"/>
        <v>13200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600</v>
      </c>
      <c r="I106" s="12">
        <f t="shared" si="19"/>
        <v>12000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22</v>
      </c>
      <c r="H107" s="255">
        <v>600</v>
      </c>
      <c r="I107" s="12">
        <f t="shared" si="19"/>
        <v>13200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21</v>
      </c>
      <c r="H108" s="255">
        <v>600</v>
      </c>
      <c r="I108" s="12">
        <f t="shared" si="19"/>
        <v>12600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22</v>
      </c>
      <c r="H109" s="255">
        <v>600</v>
      </c>
      <c r="I109" s="12">
        <f t="shared" si="19"/>
        <v>13200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15</v>
      </c>
      <c r="H110" s="255">
        <v>600</v>
      </c>
      <c r="I110" s="12">
        <f t="shared" si="19"/>
        <v>9000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21</v>
      </c>
      <c r="H111" s="255">
        <v>600</v>
      </c>
      <c r="I111" s="12">
        <f t="shared" si="19"/>
        <v>12600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22</v>
      </c>
      <c r="H112" s="255">
        <v>600</v>
      </c>
      <c r="I112" s="12">
        <f t="shared" si="19"/>
        <v>13200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22</v>
      </c>
      <c r="H113" s="255">
        <v>600</v>
      </c>
      <c r="I113" s="12">
        <f t="shared" si="19"/>
        <v>13200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21</v>
      </c>
      <c r="H114" s="255">
        <v>600</v>
      </c>
      <c r="I114" s="12">
        <f t="shared" si="19"/>
        <v>12600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143600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0.7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0.4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183</v>
      </c>
      <c r="D123" s="264">
        <v>0.4</v>
      </c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>
        <f>1400*12</f>
        <v>16800</v>
      </c>
      <c r="C133" s="260">
        <v>58000</v>
      </c>
      <c r="D133" s="261">
        <v>99000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34000</v>
      </c>
      <c r="D134" s="261">
        <v>40000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12096</v>
      </c>
      <c r="C139" s="73">
        <f>C133*0.72</f>
        <v>41760</v>
      </c>
      <c r="D139" s="73">
        <f>D133*0.72</f>
        <v>71280</v>
      </c>
      <c r="F139" t="s">
        <v>89</v>
      </c>
      <c r="G139" s="245">
        <f>B133*0.72</f>
        <v>12096</v>
      </c>
      <c r="H139" s="246">
        <f>C133*0.72</f>
        <v>41760</v>
      </c>
      <c r="I139" s="73">
        <f>D133*0.72</f>
        <v>71280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31448.399999999998</v>
      </c>
      <c r="C141" s="71">
        <f>+'Plan financier à imprimer'!AH12*21.9%</f>
        <v>53462.279999999992</v>
      </c>
      <c r="D141" s="71">
        <f>+'Plan financier à imprimer'!AI12*21.9%</f>
        <v>74847.191999999995</v>
      </c>
      <c r="E141" s="93" t="s">
        <v>132</v>
      </c>
      <c r="F141" t="s">
        <v>1</v>
      </c>
      <c r="G141" s="245">
        <f>+'Plan financier à imprimer'!AG12*11%</f>
        <v>15796</v>
      </c>
      <c r="H141" s="247">
        <f>+'Plan financier à imprimer'!AH12*21.9%</f>
        <v>53462.279999999992</v>
      </c>
      <c r="I141" s="71">
        <f>+'Plan financier à imprimer'!AI12*21.9%</f>
        <v>74847.191999999995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18332.533504531038</v>
      </c>
      <c r="C142" s="71">
        <f>IF('Plan financier à imprimer'!AH52*30%&lt;3456,3456,'Plan financier à imprimer'!AH52*30%)</f>
        <v>25930.333504531041</v>
      </c>
      <c r="D142" s="71">
        <f>IF('Plan financier à imprimer'!AI52*30%&lt;3456,3456,'Plan financier à imprimer'!AI52*30%)</f>
        <v>33177.733504531039</v>
      </c>
      <c r="F142" t="s">
        <v>109</v>
      </c>
      <c r="G142" s="245">
        <v>1305</v>
      </c>
      <c r="H142" s="248">
        <f>IF('Plan financier à imprimer'!AH52*32%&lt;3456,3456,'Plan financier à imprimer'!AH52*32%)</f>
        <v>27659.022404833111</v>
      </c>
      <c r="I142" s="72">
        <f>IF('Plan financier à imprimer'!AI52*32%&lt;3456,3456,'Plan financier à imprimer'!AI52*32%)</f>
        <v>35389.582404833112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15300</v>
      </c>
      <c r="D143" s="71">
        <f>IF(D134*45%&lt;3456,3456,D134*45%)</f>
        <v>18000</v>
      </c>
      <c r="F143" t="s">
        <v>108</v>
      </c>
      <c r="G143" s="245">
        <v>1305</v>
      </c>
      <c r="H143" s="248">
        <f>IF(C134*45%&lt;3456,3456,C134*45%)</f>
        <v>15300</v>
      </c>
      <c r="I143" s="72">
        <f>IF(D134*45%&lt;3456,3456,D134*45%)</f>
        <v>18000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15300</v>
      </c>
      <c r="D144" s="71">
        <f>IF(D134*45%&lt;3456,3456,D134*45%)</f>
        <v>18000</v>
      </c>
      <c r="F144" t="s">
        <v>110</v>
      </c>
      <c r="G144" s="245">
        <v>1305</v>
      </c>
      <c r="H144" s="248">
        <f>IF(C134*45%&lt;3456,3456,C134*45%)</f>
        <v>15300</v>
      </c>
      <c r="I144" s="72">
        <f>IF(D134*45%&lt;3456,3456,D134*45%)</f>
        <v>18000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23800</v>
      </c>
      <c r="D145" s="71">
        <f t="shared" si="20"/>
        <v>28000</v>
      </c>
      <c r="F145" t="s">
        <v>111</v>
      </c>
      <c r="G145" s="245">
        <f>B134*33%</f>
        <v>8250</v>
      </c>
      <c r="H145" s="245">
        <f>C134*70%</f>
        <v>23800</v>
      </c>
      <c r="I145" s="245">
        <f>D134*70%</f>
        <v>28000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23800</v>
      </c>
      <c r="D146" s="71">
        <f t="shared" si="21"/>
        <v>28000</v>
      </c>
      <c r="F146" t="s">
        <v>112</v>
      </c>
      <c r="G146" s="245">
        <f>B134*33%</f>
        <v>8250</v>
      </c>
      <c r="H146" s="245">
        <f>C134*70%</f>
        <v>23800</v>
      </c>
      <c r="I146" s="245">
        <f>D134*70%</f>
        <v>28000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23800</v>
      </c>
      <c r="D147" s="73">
        <f>SUMIF($A$140:$A$146,$B$8,D140:D146)</f>
        <v>28000</v>
      </c>
      <c r="F147" s="1" t="s">
        <v>107</v>
      </c>
      <c r="G147" s="245">
        <f>SUMIF($A$140:$A$146,$B$8,G140:G146)</f>
        <v>8250</v>
      </c>
      <c r="H147" s="246">
        <f>SUMIF($A$140:$A$146,$B$8,H140:H146)</f>
        <v>23800</v>
      </c>
      <c r="I147" s="246">
        <f>SUMIF($A$140:$A$146,$B$8,I140:I146)</f>
        <v>28000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0WFpf5BDixI15eTEQWXWzSloppspg+Zh7xosbZtaWt97XiwqsWcEkj9j8ORjwGmmMxXnxXyV+R9K93iCrUdMw==" saltValue="d92Gk4F3u9BRyI12jFEmN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Cabinet de conseil</v>
      </c>
      <c r="T6" s="1" t="s">
        <v>67</v>
      </c>
      <c r="V6" s="3" t="str">
        <f>IF(ISBLANK('Données à saisir'!$B7),"",('Données à saisir'!$B7))</f>
        <v>Cabinet de conseil</v>
      </c>
      <c r="AC6" s="1" t="s">
        <v>67</v>
      </c>
      <c r="AE6" s="3" t="str">
        <f>IF(ISBLANK('Données à saisir'!$B7),"",('Données à saisir'!$B7))</f>
        <v>Cabinet de conseil</v>
      </c>
      <c r="AL6" s="1" t="s">
        <v>67</v>
      </c>
      <c r="AN6" s="3" t="str">
        <f>IF(ISBLANK('Données à saisir'!$B7),"",('Données à saisir'!$B7))</f>
        <v>Cabinet de conseil</v>
      </c>
      <c r="AW6" s="1" t="s">
        <v>67</v>
      </c>
      <c r="AY6" s="3" t="str">
        <f>IF(ISBLANK('Données à saisir'!$B7),"",('Données à saisir'!$B7))</f>
        <v>Cabinet de conseil</v>
      </c>
      <c r="BF6" s="1" t="s">
        <v>67</v>
      </c>
      <c r="BH6" s="3" t="str">
        <f>IF(ISBLANK('Données à saisir'!$B7),"",('Données à saisir'!$B7))</f>
        <v>Cabinet de conseil</v>
      </c>
      <c r="BO6" s="1" t="s">
        <v>67</v>
      </c>
      <c r="BQ6" s="3" t="str">
        <f>IF(ISBLANK('Données à saisir'!$B7),"",('Données à saisir'!$B7))</f>
        <v>Cabinet de conseil</v>
      </c>
      <c r="BV6" s="193" t="s">
        <v>215</v>
      </c>
      <c r="BY6" s="1" t="s">
        <v>67</v>
      </c>
      <c r="CA6" s="3" t="str">
        <f>IF(ISBLANK('Données à saisir'!$B7),"",('Données à saisir'!$B7))</f>
        <v>Cabinet de conseil</v>
      </c>
      <c r="CF6" s="193" t="s">
        <v>215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143600</v>
      </c>
      <c r="AH10" s="60">
        <f t="shared" ref="AH10:AI10" si="0">SUM(AH11:AH12)</f>
        <v>244120</v>
      </c>
      <c r="AI10" s="226">
        <f t="shared" si="0"/>
        <v>341768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40</v>
      </c>
      <c r="AP11" s="323" t="s">
        <v>165</v>
      </c>
      <c r="AQ11" s="323" t="s">
        <v>41</v>
      </c>
      <c r="AR11" s="323" t="s">
        <v>165</v>
      </c>
      <c r="AS11" s="323" t="s">
        <v>42</v>
      </c>
      <c r="AT11" s="311" t="s">
        <v>165</v>
      </c>
      <c r="AW11" s="51" t="s">
        <v>193</v>
      </c>
      <c r="AX11" s="52"/>
      <c r="AY11" s="52"/>
      <c r="AZ11" s="52"/>
      <c r="BA11" s="60">
        <f>AG10</f>
        <v>143600</v>
      </c>
      <c r="BB11" s="60">
        <f>AH10</f>
        <v>244120</v>
      </c>
      <c r="BC11" s="226">
        <f>AI10</f>
        <v>341768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7100</v>
      </c>
      <c r="AC12" s="44" t="s">
        <v>123</v>
      </c>
      <c r="AG12" s="62">
        <f>'Données à saisir'!I115</f>
        <v>143600</v>
      </c>
      <c r="AH12" s="62">
        <f>AG12+AG12*'Données à saisir'!I117</f>
        <v>244120</v>
      </c>
      <c r="AI12" s="54">
        <f>AH12+AH12*'Données à saisir'!I118</f>
        <v>341768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143600</v>
      </c>
      <c r="AP13" s="139">
        <v>1</v>
      </c>
      <c r="AQ13" s="119">
        <f>AH10</f>
        <v>244120</v>
      </c>
      <c r="AR13" s="140">
        <v>1</v>
      </c>
      <c r="AS13" s="119">
        <f>AI10</f>
        <v>341768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47</v>
      </c>
    </row>
    <row r="14" spans="2:84" ht="15.1" customHeight="1" x14ac:dyDescent="0.25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143600</v>
      </c>
      <c r="AP14" s="142">
        <v>1</v>
      </c>
      <c r="AQ14" s="104">
        <f>AH10</f>
        <v>244120</v>
      </c>
      <c r="AR14" s="143">
        <v>1</v>
      </c>
      <c r="AS14" s="104">
        <f>AI10</f>
        <v>341768</v>
      </c>
      <c r="AT14" s="144">
        <v>1</v>
      </c>
      <c r="AW14" s="123" t="s">
        <v>177</v>
      </c>
      <c r="BA14" s="57">
        <f>BA11-BA13</f>
        <v>143600</v>
      </c>
      <c r="BB14" s="57">
        <f t="shared" ref="BB14:BC14" si="2">BB11-BB13</f>
        <v>244120</v>
      </c>
      <c r="BC14" s="53">
        <f t="shared" si="2"/>
        <v>341768</v>
      </c>
      <c r="BF14" s="186" t="s">
        <v>200</v>
      </c>
      <c r="BG14" s="52"/>
      <c r="BH14" s="52"/>
      <c r="BI14" s="52"/>
      <c r="BJ14" s="187">
        <f>Q12+Q23</f>
        <v>19600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34000</v>
      </c>
      <c r="Z15" s="61">
        <f>'Données à saisir'!D134</f>
        <v>40000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 t="str">
        <f>Q30</f>
        <v/>
      </c>
      <c r="BK15" s="104"/>
      <c r="BL15" s="120"/>
      <c r="BO15" s="192" t="s">
        <v>201</v>
      </c>
      <c r="BP15" s="52"/>
      <c r="BQ15" s="52"/>
      <c r="BR15" s="187">
        <f>BJ19</f>
        <v>15000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0.36</v>
      </c>
      <c r="Z16" s="103">
        <f>IF(ISERROR((Z15-Y15)/Y15),"",(Z15-Y15)/Y15)</f>
        <v>0.17647058823529413</v>
      </c>
      <c r="AC16" s="63" t="s">
        <v>126</v>
      </c>
      <c r="AD16" s="64"/>
      <c r="AE16" s="64"/>
      <c r="AF16" s="64"/>
      <c r="AG16" s="65">
        <f>AG10-AG13</f>
        <v>143600</v>
      </c>
      <c r="AH16" s="65">
        <f>AH10-AH13</f>
        <v>244120</v>
      </c>
      <c r="AI16" s="66">
        <f>AI10-AI13</f>
        <v>341768</v>
      </c>
      <c r="AL16" s="63" t="s">
        <v>155</v>
      </c>
      <c r="AM16" s="64"/>
      <c r="AN16" s="64"/>
      <c r="AO16" s="65">
        <f>AO14-AO15</f>
        <v>143600</v>
      </c>
      <c r="AP16" s="147">
        <f t="shared" ref="AP16:AP28" si="5">AO16/$AO$14</f>
        <v>1</v>
      </c>
      <c r="AQ16" s="65">
        <f t="shared" ref="AQ16:AS16" si="6">AQ14-AQ15</f>
        <v>244120</v>
      </c>
      <c r="AR16" s="148">
        <f t="shared" ref="AR16:AR28" si="7">AQ16/$AQ$14</f>
        <v>1</v>
      </c>
      <c r="AS16" s="65">
        <f t="shared" si="6"/>
        <v>341768</v>
      </c>
      <c r="AT16" s="150">
        <f t="shared" ref="AT16:AT28" si="8">AS16/$AS$14</f>
        <v>1</v>
      </c>
      <c r="AW16" s="123" t="s">
        <v>178</v>
      </c>
      <c r="BA16" s="104">
        <f>SUM(AO17,AO19,AO20,AO22,AO24)</f>
        <v>115741.55498489653</v>
      </c>
      <c r="BB16" s="104">
        <f>SUM(AQ17,AQ19,AQ20,AQ22,AQ24)</f>
        <v>215485.55498489653</v>
      </c>
      <c r="BC16" s="159">
        <f>SUM(AS17,AS19,AS20,AS22,AS24)</f>
        <v>299175.5549848965</v>
      </c>
      <c r="BF16" s="123" t="s">
        <v>198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202</v>
      </c>
      <c r="BR16" s="104">
        <f>BJ20</f>
        <v>11600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11600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23800</v>
      </c>
      <c r="Z17" s="53">
        <f>AI40</f>
        <v>28000</v>
      </c>
      <c r="AC17" s="37" t="s">
        <v>127</v>
      </c>
      <c r="AG17" s="57">
        <f>SUM(AG18:AG33)</f>
        <v>49250</v>
      </c>
      <c r="AH17" s="57">
        <f>SUM(AH18:AH33)</f>
        <v>52480</v>
      </c>
      <c r="AI17" s="68">
        <f>SUM(AI18:AI33)</f>
        <v>55300</v>
      </c>
      <c r="AL17" s="70" t="s">
        <v>80</v>
      </c>
      <c r="AO17" s="104">
        <f>AG17</f>
        <v>49250</v>
      </c>
      <c r="AP17" s="145">
        <f t="shared" si="5"/>
        <v>0.34296657381615597</v>
      </c>
      <c r="AQ17" s="104">
        <f>AH17</f>
        <v>52480</v>
      </c>
      <c r="AR17" s="149">
        <f t="shared" si="7"/>
        <v>0.21497624119285597</v>
      </c>
      <c r="AS17" s="104">
        <f>AI17</f>
        <v>55300</v>
      </c>
      <c r="AT17" s="146">
        <f t="shared" si="8"/>
        <v>0.1618056693429461</v>
      </c>
      <c r="AW17" s="63" t="s">
        <v>195</v>
      </c>
      <c r="AX17" s="64"/>
      <c r="AY17" s="64"/>
      <c r="AZ17" s="64"/>
      <c r="BA17" s="65">
        <f>BA12+BA16</f>
        <v>115741.55498489653</v>
      </c>
      <c r="BB17" s="65">
        <f t="shared" ref="BB17:BC17" si="9">BB12+BB16</f>
        <v>215485.55498489653</v>
      </c>
      <c r="BC17" s="66">
        <f t="shared" si="9"/>
        <v>299175.5549848965</v>
      </c>
      <c r="BF17" s="123" t="s">
        <v>199</v>
      </c>
      <c r="BJ17" s="104">
        <f>AO45</f>
        <v>1657.1428571428573</v>
      </c>
      <c r="BK17" s="104">
        <f>AQ45</f>
        <v>1657.1428571428573</v>
      </c>
      <c r="BL17" s="120">
        <f>AS45</f>
        <v>1657.1428571428573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550</v>
      </c>
      <c r="AH18" s="62">
        <f>IF(ISBLANK('Données à saisir'!C77),0,'Données à saisir'!C77)</f>
        <v>580</v>
      </c>
      <c r="AI18" s="54">
        <f>IF(ISBLANK('Données à saisir'!D77),0,'Données à saisir'!D77)</f>
        <v>600</v>
      </c>
      <c r="AL18" s="63" t="s">
        <v>128</v>
      </c>
      <c r="AM18" s="64"/>
      <c r="AN18" s="64"/>
      <c r="AO18" s="65">
        <f>AO16-AO17</f>
        <v>94350</v>
      </c>
      <c r="AP18" s="147">
        <f t="shared" si="5"/>
        <v>0.65703342618384397</v>
      </c>
      <c r="AQ18" s="65">
        <f t="shared" ref="AQ18:AS18" si="10">AQ16-AQ17</f>
        <v>191640</v>
      </c>
      <c r="AR18" s="148">
        <f t="shared" si="7"/>
        <v>0.78502375880714403</v>
      </c>
      <c r="AS18" s="65">
        <f t="shared" si="10"/>
        <v>286468</v>
      </c>
      <c r="AT18" s="150">
        <f t="shared" si="8"/>
        <v>0.83819433065705395</v>
      </c>
      <c r="AW18" s="123" t="s">
        <v>179</v>
      </c>
      <c r="BA18" s="104">
        <f>AG44</f>
        <v>27858.445015103469</v>
      </c>
      <c r="BB18" s="104">
        <f>AH44</f>
        <v>28634.445015103469</v>
      </c>
      <c r="BC18" s="159">
        <f>AI44</f>
        <v>42592.445015103469</v>
      </c>
      <c r="BF18" s="63" t="s">
        <v>197</v>
      </c>
      <c r="BG18" s="64"/>
      <c r="BH18" s="64"/>
      <c r="BI18" s="64"/>
      <c r="BJ18" s="188">
        <f>SUM(BJ14:BJ17)</f>
        <v>21257.142857142859</v>
      </c>
      <c r="BK18" s="189">
        <f>SUM(BK14:BK17)</f>
        <v>1657.1428571428573</v>
      </c>
      <c r="BL18" s="190">
        <f>SUM(BL14:BL17)</f>
        <v>1657.1428571428573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bail, pas de porte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16800</v>
      </c>
      <c r="Y19" s="60">
        <f>'Données à saisir'!C133</f>
        <v>58000</v>
      </c>
      <c r="Z19" s="61">
        <f>'Données à saisir'!D133</f>
        <v>99000</v>
      </c>
      <c r="AC19" s="44" t="str">
        <f>'Données à saisir'!A78</f>
        <v>Téléphone, internet</v>
      </c>
      <c r="AG19" s="62">
        <f>IF(ISBLANK('Données à saisir'!B78),0,'Données à saisir'!B78)</f>
        <v>1100</v>
      </c>
      <c r="AH19" s="62">
        <f>IF(ISBLANK('Données à saisir'!C78),0,'Données à saisir'!C78)</f>
        <v>1300</v>
      </c>
      <c r="AI19" s="54">
        <f>IF(ISBLANK('Données à saisir'!D78),0,'Données à saisir'!D78)</f>
        <v>1500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4.0963460593150909E-3</v>
      </c>
      <c r="AS19" s="104">
        <f>AI36</f>
        <v>1050</v>
      </c>
      <c r="AT19" s="146">
        <f t="shared" si="8"/>
        <v>3.0722595444863184E-3</v>
      </c>
      <c r="AW19" s="63" t="s">
        <v>196</v>
      </c>
      <c r="AX19" s="64"/>
      <c r="AY19" s="64"/>
      <c r="AZ19" s="64"/>
      <c r="BA19" s="65">
        <f>IF(ISERROR(BA16/BA15),0,BA16/BA15)</f>
        <v>115741.55498489653</v>
      </c>
      <c r="BB19" s="65">
        <f t="shared" ref="BB19:BC19" si="11">IF(ISERROR(BB16/BB15),0,BB16/BB15)</f>
        <v>215485.55498489653</v>
      </c>
      <c r="BC19" s="66">
        <f t="shared" si="11"/>
        <v>299175.5549848965</v>
      </c>
      <c r="BF19" s="123" t="s">
        <v>201</v>
      </c>
      <c r="BJ19" s="104">
        <f>Q37</f>
        <v>15000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3500</v>
      </c>
      <c r="T20" s="44"/>
      <c r="U20" s="3" t="s">
        <v>141</v>
      </c>
      <c r="X20" s="62"/>
      <c r="Y20" s="102">
        <f>IF(ISERROR((Y19-X19)/X19),"",(Y19-X19)/X19)</f>
        <v>2.4523809523809526</v>
      </c>
      <c r="Z20" s="103">
        <f>IF(ISERROR((Z19-Y19)/Y19),"",(Z19-Y19)/Y19)</f>
        <v>0.7068965517241379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62146</v>
      </c>
      <c r="AP20" s="145">
        <f t="shared" si="5"/>
        <v>0.43277158774373259</v>
      </c>
      <c r="AQ20" s="104">
        <f>SUM(AH37:AH40)</f>
        <v>157560</v>
      </c>
      <c r="AR20" s="149">
        <f t="shared" si="7"/>
        <v>0.64542028510568572</v>
      </c>
      <c r="AS20" s="104">
        <f>SUM(AI37:AI40)</f>
        <v>238280</v>
      </c>
      <c r="AT20" s="146">
        <f t="shared" si="8"/>
        <v>0.69719809929542853</v>
      </c>
      <c r="AW20" s="123" t="s">
        <v>180</v>
      </c>
      <c r="BA20" s="104">
        <f>BA11-BA19</f>
        <v>27858.445015103469</v>
      </c>
      <c r="BB20" s="104">
        <f t="shared" ref="BB20:BC20" si="12">BB11-BB19</f>
        <v>28634.445015103469</v>
      </c>
      <c r="BC20" s="120">
        <f t="shared" si="12"/>
        <v>42592.445015103498</v>
      </c>
      <c r="BF20" s="123" t="s">
        <v>202</v>
      </c>
      <c r="BJ20" s="104">
        <f>Q40</f>
        <v>11600</v>
      </c>
      <c r="BK20" s="104"/>
      <c r="BL20" s="159"/>
      <c r="BO20" s="123" t="s">
        <v>213</v>
      </c>
      <c r="BR20" s="104">
        <f>'Données à saisir'!I103</f>
        <v>8800</v>
      </c>
      <c r="BS20" s="104">
        <f>'Données à saisir'!I104</f>
        <v>10000</v>
      </c>
      <c r="BT20" s="104">
        <f>'Données à saisir'!I105</f>
        <v>13200</v>
      </c>
      <c r="BU20" s="104">
        <f>'Données à saisir'!I106</f>
        <v>12000</v>
      </c>
      <c r="BV20" s="159">
        <f>'Données à saisir'!I107</f>
        <v>13200</v>
      </c>
      <c r="BY20" s="196">
        <f>'Données à saisir'!I108</f>
        <v>12600</v>
      </c>
      <c r="BZ20" s="104">
        <f>'Données à saisir'!I109</f>
        <v>13200</v>
      </c>
      <c r="CA20" s="104">
        <f>'Données à saisir'!I110</f>
        <v>9000</v>
      </c>
      <c r="CB20" s="104">
        <f>'Données à saisir'!I111</f>
        <v>12600</v>
      </c>
      <c r="CC20" s="104">
        <f>'Données à saisir'!I112</f>
        <v>13200</v>
      </c>
      <c r="CD20" s="104">
        <f>'Données à saisir'!I113</f>
        <v>13200</v>
      </c>
      <c r="CE20" s="132">
        <f>'Données à saisir'!I114</f>
        <v>12600</v>
      </c>
      <c r="CF20" s="201">
        <f t="shared" ref="CF20:CF24" si="13">SUM(BR20:CE20)</f>
        <v>143600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12096</v>
      </c>
      <c r="Y21" s="57">
        <f>'Données à saisir'!C139</f>
        <v>41760</v>
      </c>
      <c r="Z21" s="53">
        <f>'Données à saisir'!D139</f>
        <v>71280</v>
      </c>
      <c r="AC21" s="44" t="str">
        <f>'Données à saisir'!A80</f>
        <v>Carburant, transports</v>
      </c>
      <c r="AG21" s="62">
        <f>IF(ISBLANK('Données à saisir'!B80),0,'Données à saisir'!B80)</f>
        <v>900</v>
      </c>
      <c r="AH21" s="62">
        <f>IF(ISBLANK('Données à saisir'!C80),0,'Données à saisir'!C80)</f>
        <v>950</v>
      </c>
      <c r="AI21" s="54">
        <f>IF(ISBLANK('Données à saisir'!D80),0,'Données à saisir'!D80)</f>
        <v>1000</v>
      </c>
      <c r="AL21" s="63" t="s">
        <v>129</v>
      </c>
      <c r="AM21" s="64"/>
      <c r="AN21" s="64"/>
      <c r="AO21" s="65">
        <f>AO18-AO19-AO20</f>
        <v>32204</v>
      </c>
      <c r="AP21" s="147">
        <f t="shared" si="5"/>
        <v>0.22426183844011141</v>
      </c>
      <c r="AQ21" s="65">
        <f t="shared" ref="AQ21:AS21" si="14">AQ18-AQ19-AQ20</f>
        <v>33080</v>
      </c>
      <c r="AR21" s="148">
        <f t="shared" si="7"/>
        <v>0.1355071276421432</v>
      </c>
      <c r="AS21" s="65">
        <f t="shared" si="14"/>
        <v>47138</v>
      </c>
      <c r="AT21" s="150">
        <f t="shared" si="8"/>
        <v>0.13792397181713911</v>
      </c>
      <c r="AW21" s="208" t="s">
        <v>181</v>
      </c>
      <c r="AX21" s="36"/>
      <c r="AY21" s="36"/>
      <c r="AZ21" s="36"/>
      <c r="BA21" s="156">
        <f>BA19/250</f>
        <v>462.9662199395861</v>
      </c>
      <c r="BB21" s="156">
        <f t="shared" ref="BB21:BC21" si="15">BB19/250</f>
        <v>861.94221993958615</v>
      </c>
      <c r="BC21" s="157">
        <f t="shared" si="15"/>
        <v>1196.702219939586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8800</v>
      </c>
      <c r="BS21" s="65">
        <f t="shared" ref="BS21:BV21" si="16">SUM(BS19:BS20)</f>
        <v>10000</v>
      </c>
      <c r="BT21" s="65">
        <f t="shared" si="16"/>
        <v>13200</v>
      </c>
      <c r="BU21" s="65">
        <f t="shared" si="16"/>
        <v>12000</v>
      </c>
      <c r="BV21" s="66">
        <f t="shared" si="16"/>
        <v>13200</v>
      </c>
      <c r="BY21" s="197">
        <f t="shared" ref="BY21:CE21" si="17">SUM(BY19:BY20)</f>
        <v>12600</v>
      </c>
      <c r="BZ21" s="65">
        <f t="shared" si="17"/>
        <v>13200</v>
      </c>
      <c r="CA21" s="65">
        <f t="shared" si="17"/>
        <v>9000</v>
      </c>
      <c r="CB21" s="65">
        <f t="shared" si="17"/>
        <v>12600</v>
      </c>
      <c r="CC21" s="65">
        <f t="shared" si="17"/>
        <v>13200</v>
      </c>
      <c r="CD21" s="65">
        <f t="shared" si="17"/>
        <v>13200</v>
      </c>
      <c r="CE21" s="131">
        <f t="shared" si="17"/>
        <v>12600</v>
      </c>
      <c r="CF21" s="200">
        <f t="shared" si="13"/>
        <v>143600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2500</v>
      </c>
      <c r="AH22" s="62">
        <f>IF(ISBLANK('Données à saisir'!C81),0,'Données à saisir'!C81)</f>
        <v>3200</v>
      </c>
      <c r="AI22" s="54">
        <f>IF(ISBLANK('Données à saisir'!D81),0,'Données à saisir'!D81)</f>
        <v>4000</v>
      </c>
      <c r="AL22" s="38" t="s">
        <v>156</v>
      </c>
      <c r="AO22" s="104">
        <f>AG43</f>
        <v>2300</v>
      </c>
      <c r="AP22" s="145">
        <f t="shared" si="5"/>
        <v>1.6016713091922007E-2</v>
      </c>
      <c r="AQ22" s="104">
        <f>AH43</f>
        <v>2300</v>
      </c>
      <c r="AR22" s="149">
        <f t="shared" si="7"/>
        <v>9.42159593642471E-3</v>
      </c>
      <c r="AS22" s="104">
        <f>AI43</f>
        <v>2300</v>
      </c>
      <c r="AT22" s="146">
        <f t="shared" si="8"/>
        <v>6.7297113831605061E-3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7100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12500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4100</v>
      </c>
      <c r="AI23" s="54">
        <f>IF(ISBLANK('Données à saisir'!D82),0,'Données à saisir'!D82)</f>
        <v>4200</v>
      </c>
      <c r="AL23" s="63" t="s">
        <v>157</v>
      </c>
      <c r="AM23" s="64"/>
      <c r="AN23" s="64"/>
      <c r="AO23" s="65">
        <f>AO21-AO22</f>
        <v>29904</v>
      </c>
      <c r="AP23" s="147">
        <f t="shared" si="5"/>
        <v>0.20824512534818942</v>
      </c>
      <c r="AQ23" s="65">
        <f t="shared" ref="AQ23:AS23" si="18">AQ21-AQ22</f>
        <v>30780</v>
      </c>
      <c r="AR23" s="148">
        <f t="shared" si="7"/>
        <v>0.12608553170571851</v>
      </c>
      <c r="AS23" s="65">
        <f t="shared" si="18"/>
        <v>44838</v>
      </c>
      <c r="AT23" s="150">
        <f t="shared" si="8"/>
        <v>0.13119426043397861</v>
      </c>
      <c r="AW23" s="4"/>
      <c r="BA23" s="99"/>
      <c r="BB23" s="99"/>
      <c r="BC23" s="99"/>
      <c r="BF23" s="123" t="s">
        <v>205</v>
      </c>
      <c r="BJ23" s="104">
        <f>AO44</f>
        <v>25979.678262837948</v>
      </c>
      <c r="BK23" s="104">
        <f>AQ44</f>
        <v>26639.27826283795</v>
      </c>
      <c r="BL23" s="159">
        <f>AS44</f>
        <v>38056.333761327602</v>
      </c>
      <c r="BO23" s="123" t="s">
        <v>69</v>
      </c>
      <c r="BR23" s="104">
        <f>Q23</f>
        <v>12500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12500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300</v>
      </c>
      <c r="AH24" s="62">
        <f>IF(ISBLANK('Données à saisir'!C83),0,'Données à saisir'!C83)</f>
        <v>1000</v>
      </c>
      <c r="AI24" s="54">
        <f>IF(ISBLANK('Données à saisir'!D83),0,'Données à saisir'!D83)</f>
        <v>1500</v>
      </c>
      <c r="AL24" s="38" t="s">
        <v>31</v>
      </c>
      <c r="AM24" s="1"/>
      <c r="AN24" s="1"/>
      <c r="AO24" s="104">
        <f>AG42</f>
        <v>2045.5549848965295</v>
      </c>
      <c r="AP24" s="145">
        <f t="shared" si="5"/>
        <v>1.4244811872538506E-2</v>
      </c>
      <c r="AQ24" s="104">
        <f>AH42</f>
        <v>2145.5549848965293</v>
      </c>
      <c r="AR24" s="149">
        <f t="shared" si="7"/>
        <v>8.7889357074247467E-3</v>
      </c>
      <c r="AS24" s="104">
        <f>AI42</f>
        <v>2245.5549848965293</v>
      </c>
      <c r="AT24" s="146">
        <f t="shared" si="8"/>
        <v>6.5704073666830402E-3</v>
      </c>
      <c r="BF24" s="63" t="s">
        <v>206</v>
      </c>
      <c r="BG24" s="64"/>
      <c r="BH24" s="64"/>
      <c r="BI24" s="64"/>
      <c r="BJ24" s="65">
        <f>SUM(BJ19:BJ23)</f>
        <v>52579.678262837944</v>
      </c>
      <c r="BK24" s="65">
        <f>SUM(BK19:BK23)</f>
        <v>26639.27826283795</v>
      </c>
      <c r="BL24" s="66">
        <f>SUM(BL19:BL23)</f>
        <v>38056.333761327602</v>
      </c>
      <c r="BO24" s="63" t="s">
        <v>226</v>
      </c>
      <c r="BP24" s="64"/>
      <c r="BQ24" s="64"/>
      <c r="BR24" s="65">
        <f>SUM(BR22:BR23)</f>
        <v>19600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19600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1800</v>
      </c>
      <c r="AH25" s="62">
        <f>IF(ISBLANK('Données à saisir'!C84),0,'Données à saisir'!C84)</f>
        <v>2000</v>
      </c>
      <c r="AI25" s="54">
        <f>IF(ISBLANK('Données à saisir'!D84),0,'Données à saisir'!D84)</f>
        <v>2200</v>
      </c>
      <c r="AL25" s="38" t="s">
        <v>158</v>
      </c>
      <c r="AM25" s="1"/>
      <c r="AN25" s="1"/>
      <c r="AO25" s="104">
        <f>AO24*-1</f>
        <v>-2045.5549848965295</v>
      </c>
      <c r="AP25" s="145">
        <f t="shared" si="5"/>
        <v>-1.4244811872538506E-2</v>
      </c>
      <c r="AQ25" s="104">
        <f t="shared" ref="AQ25:AS25" si="19">AQ24*-1</f>
        <v>-2145.5549848965293</v>
      </c>
      <c r="AR25" s="149">
        <f t="shared" si="7"/>
        <v>-8.7889357074247467E-3</v>
      </c>
      <c r="AS25" s="104">
        <f t="shared" si="19"/>
        <v>-2245.5549848965293</v>
      </c>
      <c r="AT25" s="146">
        <f t="shared" si="8"/>
        <v>-6.5704073666830402E-3</v>
      </c>
      <c r="BA25" s="90"/>
      <c r="BF25" s="123" t="s">
        <v>207</v>
      </c>
      <c r="BJ25" s="104">
        <f>BJ24-BJ18</f>
        <v>31322.535405695086</v>
      </c>
      <c r="BK25" s="104">
        <f>BK24-BK18</f>
        <v>24982.135405695091</v>
      </c>
      <c r="BL25" s="120">
        <f>BL24-BL18</f>
        <v>36399.190904184747</v>
      </c>
      <c r="BO25" s="123" t="s">
        <v>260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1000</v>
      </c>
      <c r="AH26" s="62">
        <f>IF(ISBLANK('Données à saisir'!C85),0,'Données à saisir'!C85)</f>
        <v>1100</v>
      </c>
      <c r="AI26" s="54">
        <f>IF(ISBLANK('Données à saisir'!D85),0,'Données à saisir'!D85)</f>
        <v>1200</v>
      </c>
      <c r="AL26" s="63" t="s">
        <v>160</v>
      </c>
      <c r="AM26" s="64"/>
      <c r="AN26" s="64"/>
      <c r="AO26" s="65">
        <f>AO23+AO25</f>
        <v>27858.445015103469</v>
      </c>
      <c r="AP26" s="147">
        <f t="shared" si="5"/>
        <v>0.19400031347565089</v>
      </c>
      <c r="AQ26" s="65">
        <f t="shared" ref="AQ26:AS26" si="21">AQ23+AQ25</f>
        <v>28634.445015103469</v>
      </c>
      <c r="AR26" s="148">
        <f t="shared" si="7"/>
        <v>0.11729659599829374</v>
      </c>
      <c r="AS26" s="65">
        <f t="shared" si="21"/>
        <v>42592.445015103469</v>
      </c>
      <c r="AT26" s="150">
        <f t="shared" si="8"/>
        <v>0.12462385306729556</v>
      </c>
      <c r="BF26" s="63" t="s">
        <v>261</v>
      </c>
      <c r="BG26" s="64"/>
      <c r="BH26" s="64"/>
      <c r="BI26" s="64"/>
      <c r="BJ26" s="65">
        <f>BJ25</f>
        <v>31322.535405695086</v>
      </c>
      <c r="BK26" s="65">
        <f>BJ26+BK25</f>
        <v>56304.670811390177</v>
      </c>
      <c r="BL26" s="66">
        <f>+BK26+BL25</f>
        <v>92703.861715574923</v>
      </c>
      <c r="BO26" s="123" t="s">
        <v>227</v>
      </c>
      <c r="BR26" s="104">
        <f>IF(ISERROR('Données à saisir'!$J$73/12),0,'Données à saisir'!$J$73/12)</f>
        <v>138.0952380952381</v>
      </c>
      <c r="BS26" s="104">
        <f>IF(ISERROR('Données à saisir'!$J$73/12),0,'Données à saisir'!$J$73/12)</f>
        <v>138.0952380952381</v>
      </c>
      <c r="BT26" s="104">
        <f>IF(ISERROR('Données à saisir'!$J$73/12),0,'Données à saisir'!$J$73/12)</f>
        <v>138.0952380952381</v>
      </c>
      <c r="BU26" s="104">
        <f>IF(ISERROR('Données à saisir'!$J$73/12),0,'Données à saisir'!$J$73/12)</f>
        <v>138.0952380952381</v>
      </c>
      <c r="BV26" s="120">
        <f>IF(ISERROR('Données à saisir'!$J$73/12),0,'Données à saisir'!$J$73/12)</f>
        <v>138.0952380952381</v>
      </c>
      <c r="BY26" s="196">
        <f>IF(ISERROR('Données à saisir'!$J$73/12),0,'Données à saisir'!$J$73/12)</f>
        <v>138.0952380952381</v>
      </c>
      <c r="BZ26" s="104">
        <f>IF(ISERROR('Données à saisir'!$J$73/12),0,'Données à saisir'!$J$73/12)</f>
        <v>138.0952380952381</v>
      </c>
      <c r="CA26" s="104">
        <f>IF(ISERROR('Données à saisir'!$J$73/12),0,'Données à saisir'!$J$73/12)</f>
        <v>138.0952380952381</v>
      </c>
      <c r="CB26" s="104">
        <f>IF(ISERROR('Données à saisir'!$J$73/12),0,'Données à saisir'!$J$73/12)</f>
        <v>138.0952380952381</v>
      </c>
      <c r="CC26" s="104">
        <f>IF(ISERROR('Données à saisir'!$J$73/12),0,'Données à saisir'!$J$73/12)</f>
        <v>138.0952380952381</v>
      </c>
      <c r="CD26" s="104">
        <f>IF(ISERROR('Données à saisir'!$J$73/12),0,'Données à saisir'!$J$73/12)</f>
        <v>138.0952380952381</v>
      </c>
      <c r="CE26" s="132">
        <f>IF(ISERROR('Données à saisir'!$J$73/12),0,'Données à saisir'!$J$73/12)</f>
        <v>138.0952380952381</v>
      </c>
      <c r="CF26" s="201">
        <f t="shared" si="20"/>
        <v>1657.1428571428571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3500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1200</v>
      </c>
      <c r="AH27" s="62">
        <f>IF(ISBLANK('Données à saisir'!C86),0,'Données à saisir'!C86)</f>
        <v>1300</v>
      </c>
      <c r="AI27" s="54">
        <f>IF(ISBLANK('Données à saisir'!D86),0,'Données à saisir'!D86)</f>
        <v>1400</v>
      </c>
      <c r="AL27" s="63" t="s">
        <v>161</v>
      </c>
      <c r="AM27" s="64"/>
      <c r="AN27" s="64"/>
      <c r="AO27" s="65">
        <f>IF(ISERROR(AO26-AG45),AO26,(AO26-AG45))</f>
        <v>23679.678262837948</v>
      </c>
      <c r="AP27" s="147">
        <f t="shared" si="5"/>
        <v>0.16490026645430325</v>
      </c>
      <c r="AQ27" s="65">
        <f>IF(ISERROR(AQ26-AH45),AQ26,(AQ26-AH45))</f>
        <v>24339.27826283795</v>
      </c>
      <c r="AR27" s="148">
        <f t="shared" si="7"/>
        <v>9.9702106598549695E-2</v>
      </c>
      <c r="AS27" s="65">
        <f>IF(ISERROR(AS26-AI45),AS26,(AS26-AI45))</f>
        <v>35756.333761327602</v>
      </c>
      <c r="AT27" s="150">
        <f t="shared" si="8"/>
        <v>0.10462165492769247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Cabinet de conseil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5700</v>
      </c>
      <c r="AH28" s="62">
        <f>IF(ISBLANK('Données à saisir'!C87),0,'Données à saisir'!C87)</f>
        <v>6000</v>
      </c>
      <c r="AI28" s="54">
        <f>IF(ISBLANK('Données à saisir'!D87),0,'Données à saisir'!D87)</f>
        <v>6000</v>
      </c>
      <c r="AL28" s="38" t="s">
        <v>159</v>
      </c>
      <c r="AM28" s="1"/>
      <c r="AN28" s="1"/>
      <c r="AO28" s="104">
        <f>AO27+AO22</f>
        <v>25979.678262837948</v>
      </c>
      <c r="AP28" s="145">
        <f t="shared" si="5"/>
        <v>0.18091697954622527</v>
      </c>
      <c r="AQ28" s="104">
        <f t="shared" ref="AQ28:AS28" si="22">AQ27+AQ22</f>
        <v>26639.27826283795</v>
      </c>
      <c r="AR28" s="149">
        <f t="shared" si="7"/>
        <v>0.1091237025349744</v>
      </c>
      <c r="AS28" s="104">
        <f t="shared" si="22"/>
        <v>38056.333761327602</v>
      </c>
      <c r="AT28" s="151">
        <f t="shared" si="8"/>
        <v>0.11135136631085298</v>
      </c>
      <c r="BF28" s="92" t="s">
        <v>257</v>
      </c>
      <c r="BI28" s="338">
        <f>Q31</f>
        <v>7000</v>
      </c>
      <c r="BJ28" s="338"/>
      <c r="BO28" s="123" t="s">
        <v>80</v>
      </c>
      <c r="BR28" s="104">
        <f>$AG$17/12</f>
        <v>4104.166666666667</v>
      </c>
      <c r="BS28" s="104">
        <f t="shared" ref="BS28:CE28" si="23">$AG$17/12</f>
        <v>4104.166666666667</v>
      </c>
      <c r="BT28" s="104">
        <f t="shared" si="23"/>
        <v>4104.166666666667</v>
      </c>
      <c r="BU28" s="104">
        <f t="shared" si="23"/>
        <v>4104.166666666667</v>
      </c>
      <c r="BV28" s="120">
        <f t="shared" si="23"/>
        <v>4104.166666666667</v>
      </c>
      <c r="BY28" s="196">
        <f t="shared" si="23"/>
        <v>4104.166666666667</v>
      </c>
      <c r="BZ28" s="104">
        <f t="shared" si="23"/>
        <v>4104.166666666667</v>
      </c>
      <c r="CA28" s="104">
        <f t="shared" si="23"/>
        <v>4104.166666666667</v>
      </c>
      <c r="CB28" s="104">
        <f t="shared" si="23"/>
        <v>4104.166666666667</v>
      </c>
      <c r="CC28" s="104">
        <f t="shared" si="23"/>
        <v>4104.166666666667</v>
      </c>
      <c r="CD28" s="104">
        <f t="shared" si="23"/>
        <v>4104.166666666667</v>
      </c>
      <c r="CE28" s="132">
        <f t="shared" si="23"/>
        <v>4104.166666666667</v>
      </c>
      <c r="CF28" s="201">
        <f t="shared" si="20"/>
        <v>49249.999999999993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27000</v>
      </c>
      <c r="AH29" s="62">
        <f>IF(ISBLANK('Données à saisir'!C88),0,'Données à saisir'!C88)</f>
        <v>27500</v>
      </c>
      <c r="AI29" s="54">
        <f>IF(ISBLANK('Données à saisir'!D88),0,'Données à saisir'!D88)</f>
        <v>28000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1400</v>
      </c>
      <c r="BS30" s="119">
        <f t="shared" si="24"/>
        <v>1400</v>
      </c>
      <c r="BT30" s="119">
        <f t="shared" si="24"/>
        <v>1400</v>
      </c>
      <c r="BU30" s="119">
        <f t="shared" si="24"/>
        <v>1400</v>
      </c>
      <c r="BV30" s="209">
        <f t="shared" si="24"/>
        <v>1400</v>
      </c>
      <c r="BY30" s="210">
        <f t="shared" si="25"/>
        <v>1400</v>
      </c>
      <c r="BZ30" s="119">
        <f t="shared" si="25"/>
        <v>1400</v>
      </c>
      <c r="CA30" s="119">
        <f t="shared" si="25"/>
        <v>1400</v>
      </c>
      <c r="CB30" s="119">
        <f t="shared" si="25"/>
        <v>1400</v>
      </c>
      <c r="CC30" s="119">
        <f t="shared" si="25"/>
        <v>1400</v>
      </c>
      <c r="CD30" s="119">
        <f t="shared" si="25"/>
        <v>1400</v>
      </c>
      <c r="CE30" s="211">
        <f t="shared" si="25"/>
        <v>1400</v>
      </c>
      <c r="CF30" s="213">
        <f t="shared" si="20"/>
        <v>16800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148</v>
      </c>
      <c r="U31" s="34"/>
      <c r="V31" s="34"/>
      <c r="W31" s="34"/>
      <c r="X31" s="110">
        <f>SUM(X33:X39)</f>
        <v>514.28571428571433</v>
      </c>
      <c r="Y31" s="110">
        <f>SUM(Y33:Y39)</f>
        <v>514.28571428571433</v>
      </c>
      <c r="Z31" s="111">
        <f>SUM(Z33:Z39)</f>
        <v>514.28571428571433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1008</v>
      </c>
      <c r="BS31" s="104">
        <f t="shared" si="24"/>
        <v>1008</v>
      </c>
      <c r="BT31" s="104">
        <f t="shared" si="24"/>
        <v>1008</v>
      </c>
      <c r="BU31" s="104">
        <f t="shared" si="24"/>
        <v>1008</v>
      </c>
      <c r="BV31" s="120">
        <f t="shared" si="24"/>
        <v>1008</v>
      </c>
      <c r="BY31" s="196">
        <f t="shared" si="25"/>
        <v>1008</v>
      </c>
      <c r="BZ31" s="104">
        <f t="shared" si="25"/>
        <v>1008</v>
      </c>
      <c r="CA31" s="104">
        <f t="shared" si="25"/>
        <v>1008</v>
      </c>
      <c r="CB31" s="104">
        <f t="shared" si="25"/>
        <v>1008</v>
      </c>
      <c r="CC31" s="104">
        <f t="shared" si="25"/>
        <v>1008</v>
      </c>
      <c r="CD31" s="104">
        <f t="shared" si="25"/>
        <v>1008</v>
      </c>
      <c r="CE31" s="132">
        <f t="shared" si="25"/>
        <v>1008</v>
      </c>
      <c r="CF31" s="201">
        <f t="shared" si="20"/>
        <v>12096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26600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5178.8333333333339</v>
      </c>
      <c r="BS34" s="65">
        <f t="shared" ref="BS34:CE34" si="27">SUM(BS30:BS33)</f>
        <v>5178.8333333333339</v>
      </c>
      <c r="BT34" s="65">
        <f t="shared" si="27"/>
        <v>5178.8333333333339</v>
      </c>
      <c r="BU34" s="65">
        <f t="shared" si="27"/>
        <v>5178.8333333333339</v>
      </c>
      <c r="BV34" s="66">
        <f t="shared" si="27"/>
        <v>5178.8333333333339</v>
      </c>
      <c r="BY34" s="197">
        <f t="shared" si="27"/>
        <v>5178.8333333333339</v>
      </c>
      <c r="BZ34" s="65">
        <f t="shared" si="27"/>
        <v>5178.8333333333339</v>
      </c>
      <c r="CA34" s="65">
        <f t="shared" si="27"/>
        <v>5178.8333333333339</v>
      </c>
      <c r="CB34" s="65">
        <f t="shared" si="27"/>
        <v>5178.8333333333339</v>
      </c>
      <c r="CC34" s="65">
        <f t="shared" si="27"/>
        <v>5178.8333333333339</v>
      </c>
      <c r="CD34" s="65">
        <f t="shared" si="27"/>
        <v>5178.8333333333339</v>
      </c>
      <c r="CE34" s="131">
        <f t="shared" si="27"/>
        <v>5178.8333333333339</v>
      </c>
      <c r="CF34" s="200">
        <f t="shared" si="20"/>
        <v>62146.000000000022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94350</v>
      </c>
      <c r="AH35" s="65">
        <f>AH16-AH17</f>
        <v>191640</v>
      </c>
      <c r="AI35" s="66">
        <f>AI16-AI17</f>
        <v>286468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170.46291540804413</v>
      </c>
      <c r="BS35" s="104">
        <f>$AG42/12</f>
        <v>170.46291540804413</v>
      </c>
      <c r="BT35" s="104">
        <f>$AG42/12</f>
        <v>170.46291540804413</v>
      </c>
      <c r="BU35" s="104">
        <f>$AG42/12</f>
        <v>170.46291540804413</v>
      </c>
      <c r="BV35" s="120">
        <f>$AG42/12</f>
        <v>170.46291540804413</v>
      </c>
      <c r="BY35" s="196">
        <f t="shared" ref="BY35:CE35" si="28">$AG42/12</f>
        <v>170.46291540804413</v>
      </c>
      <c r="BZ35" s="104">
        <f t="shared" si="28"/>
        <v>170.46291540804413</v>
      </c>
      <c r="CA35" s="104">
        <f t="shared" si="28"/>
        <v>170.46291540804413</v>
      </c>
      <c r="CB35" s="104">
        <f t="shared" si="28"/>
        <v>170.46291540804413</v>
      </c>
      <c r="CC35" s="104">
        <f t="shared" si="28"/>
        <v>170.46291540804413</v>
      </c>
      <c r="CD35" s="104">
        <f t="shared" si="28"/>
        <v>170.46291540804413</v>
      </c>
      <c r="CE35" s="132">
        <f t="shared" si="28"/>
        <v>170.46291540804413</v>
      </c>
      <c r="CF35" s="201">
        <f t="shared" si="20"/>
        <v>2045.55498489653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230</v>
      </c>
      <c r="BP36" s="64"/>
      <c r="BQ36" s="64"/>
      <c r="BR36" s="65">
        <f>SUM(BR24:BR29,BR34:BR35)</f>
        <v>29191.55815350328</v>
      </c>
      <c r="BS36" s="65">
        <f>SUM(BS24:BS29,BS34:BS35)</f>
        <v>9591.5581535032852</v>
      </c>
      <c r="BT36" s="65">
        <f>SUM(BT24:BT29,BT34:BT35)</f>
        <v>9591.5581535032852</v>
      </c>
      <c r="BU36" s="65">
        <f>SUM(BU24:BU29,BU34:BU35)</f>
        <v>9591.5581535032852</v>
      </c>
      <c r="BV36" s="66">
        <f>SUM(BV24:BV29,BV34:BV35)</f>
        <v>9591.5581535032852</v>
      </c>
      <c r="BY36" s="197">
        <f t="shared" ref="BY36:CE36" si="29">SUM(BY24:BY29,BY34:BY35)</f>
        <v>9591.5581535032852</v>
      </c>
      <c r="BZ36" s="65">
        <f t="shared" si="29"/>
        <v>9591.5581535032852</v>
      </c>
      <c r="CA36" s="65">
        <f t="shared" si="29"/>
        <v>9591.5581535032852</v>
      </c>
      <c r="CB36" s="65">
        <f t="shared" si="29"/>
        <v>9591.5581535032852</v>
      </c>
      <c r="CC36" s="65">
        <f t="shared" si="29"/>
        <v>9591.5581535032852</v>
      </c>
      <c r="CD36" s="65">
        <f t="shared" si="29"/>
        <v>9591.5581535032852</v>
      </c>
      <c r="CE36" s="131">
        <f t="shared" si="29"/>
        <v>9591.5581535032852</v>
      </c>
      <c r="CF36" s="200">
        <f t="shared" si="20"/>
        <v>134698.6978420394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15000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22</v>
      </c>
      <c r="AG37" s="57">
        <f>'Données à saisir'!B133</f>
        <v>16800</v>
      </c>
      <c r="AH37" s="57">
        <f>'Données à saisir'!C133</f>
        <v>58000</v>
      </c>
      <c r="AI37" s="53">
        <f>'Données à saisir'!D133</f>
        <v>99000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35400</v>
      </c>
      <c r="BS37" s="65">
        <f>SUM(BS15:BS20)</f>
        <v>10000</v>
      </c>
      <c r="BT37" s="65">
        <f>SUM(BT15:BT20)</f>
        <v>13200</v>
      </c>
      <c r="BU37" s="65">
        <f>SUM(BU15:BU20)</f>
        <v>12000</v>
      </c>
      <c r="BV37" s="66">
        <f>SUM(BV15:BV20)</f>
        <v>13200</v>
      </c>
      <c r="BY37" s="197">
        <f t="shared" ref="BY37:CE37" si="30">SUM(BY15:BY20)</f>
        <v>12600</v>
      </c>
      <c r="BZ37" s="65">
        <f t="shared" si="30"/>
        <v>13200</v>
      </c>
      <c r="CA37" s="65">
        <f t="shared" si="30"/>
        <v>9000</v>
      </c>
      <c r="CB37" s="65">
        <f t="shared" si="30"/>
        <v>12600</v>
      </c>
      <c r="CC37" s="65">
        <f t="shared" si="30"/>
        <v>13200</v>
      </c>
      <c r="CD37" s="65">
        <f t="shared" si="30"/>
        <v>13200</v>
      </c>
      <c r="CE37" s="131">
        <f t="shared" si="30"/>
        <v>12600</v>
      </c>
      <c r="CF37" s="200">
        <f t="shared" ref="CF37" si="31">SUM(BR37:CE37)</f>
        <v>170200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15000</v>
      </c>
      <c r="T38" s="44"/>
      <c r="X38" s="113"/>
      <c r="Y38" s="113"/>
      <c r="Z38" s="236"/>
      <c r="AC38" s="123" t="s">
        <v>23</v>
      </c>
      <c r="AG38" s="104">
        <f>'Données à saisir'!B139</f>
        <v>12096</v>
      </c>
      <c r="AH38" s="104">
        <f>'Données à saisir'!C139</f>
        <v>41760</v>
      </c>
      <c r="AI38" s="120">
        <f>'Données à saisir'!D139</f>
        <v>71280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6208.4418464967202</v>
      </c>
      <c r="BT38" s="104">
        <f>BS40</f>
        <v>6616.883692993435</v>
      </c>
      <c r="BU38" s="104">
        <f>BT40</f>
        <v>10225.32553949015</v>
      </c>
      <c r="BV38" s="159">
        <f>BU40</f>
        <v>12633.767385986865</v>
      </c>
      <c r="BY38" s="196">
        <f>BV40</f>
        <v>16242.209232483579</v>
      </c>
      <c r="BZ38" s="104">
        <f t="shared" ref="BZ38:CE38" si="32">BY40</f>
        <v>19250.651078980292</v>
      </c>
      <c r="CA38" s="104">
        <f t="shared" si="32"/>
        <v>22859.092925477009</v>
      </c>
      <c r="CB38" s="104">
        <f t="shared" si="32"/>
        <v>22267.534771973726</v>
      </c>
      <c r="CC38" s="104">
        <f t="shared" si="32"/>
        <v>25275.976618470442</v>
      </c>
      <c r="CD38" s="104">
        <f t="shared" si="32"/>
        <v>28884.418464967159</v>
      </c>
      <c r="CE38" s="132">
        <f t="shared" si="32"/>
        <v>32492.860311463875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34000</v>
      </c>
      <c r="AI39" s="53">
        <f>'Données à saisir'!D134</f>
        <v>40000</v>
      </c>
      <c r="AW39" s="166" t="s">
        <v>190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6208.4418464967202</v>
      </c>
      <c r="BS39" s="57">
        <f t="shared" ref="BS39:CE39" si="33">BS37-BS36</f>
        <v>408.44184649671479</v>
      </c>
      <c r="BT39" s="57">
        <f t="shared" si="33"/>
        <v>3608.4418464967148</v>
      </c>
      <c r="BU39" s="57">
        <f t="shared" si="33"/>
        <v>2408.4418464967148</v>
      </c>
      <c r="BV39" s="68">
        <f t="shared" si="33"/>
        <v>3608.4418464967148</v>
      </c>
      <c r="BW39" s="1"/>
      <c r="BX39" s="1"/>
      <c r="BY39" s="215">
        <f t="shared" si="33"/>
        <v>3008.4418464967148</v>
      </c>
      <c r="BZ39" s="57">
        <f t="shared" si="33"/>
        <v>3608.4418464967148</v>
      </c>
      <c r="CA39" s="57">
        <f t="shared" si="33"/>
        <v>-591.55815350328521</v>
      </c>
      <c r="CB39" s="57">
        <f t="shared" si="33"/>
        <v>3008.4418464967148</v>
      </c>
      <c r="CC39" s="57">
        <f t="shared" si="33"/>
        <v>3608.4418464967148</v>
      </c>
      <c r="CD39" s="57">
        <f t="shared" si="33"/>
        <v>3608.4418464967148</v>
      </c>
      <c r="CE39" s="74">
        <f t="shared" si="33"/>
        <v>3008.4418464967148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11600</v>
      </c>
      <c r="T40" s="107" t="s">
        <v>149</v>
      </c>
      <c r="U40" s="34"/>
      <c r="V40" s="34"/>
      <c r="W40" s="34"/>
      <c r="X40" s="110">
        <f>SUM(X42:X46)</f>
        <v>1785.7142857142858</v>
      </c>
      <c r="Y40" s="110">
        <f>SUM(Y42:Y46)</f>
        <v>1785.7142857142858</v>
      </c>
      <c r="Z40" s="237">
        <f>SUM(Z42:Z46)</f>
        <v>1785.7142857142858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23800</v>
      </c>
      <c r="AI40" s="120">
        <f>IF('Données à saisir'!C136="Oui",'Données à saisir'!I147,'Données à saisir'!D147)</f>
        <v>28000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239</v>
      </c>
      <c r="BP40" s="64"/>
      <c r="BQ40" s="64"/>
      <c r="BR40" s="65">
        <f>BR39</f>
        <v>6208.4418464967202</v>
      </c>
      <c r="BS40" s="65">
        <f>BS38+BS39</f>
        <v>6616.883692993435</v>
      </c>
      <c r="BT40" s="65">
        <f>BT38+BT39</f>
        <v>10225.32553949015</v>
      </c>
      <c r="BU40" s="65">
        <f>BU38+BU39</f>
        <v>12633.767385986865</v>
      </c>
      <c r="BV40" s="66">
        <f t="shared" ref="BV40:CE40" si="34">BV38+BV39</f>
        <v>16242.209232483579</v>
      </c>
      <c r="BY40" s="197">
        <f t="shared" si="34"/>
        <v>19250.651078980292</v>
      </c>
      <c r="BZ40" s="65">
        <f t="shared" si="34"/>
        <v>22859.092925477009</v>
      </c>
      <c r="CA40" s="65">
        <f t="shared" si="34"/>
        <v>22267.534771973726</v>
      </c>
      <c r="CB40" s="65">
        <f t="shared" si="34"/>
        <v>25275.976618470442</v>
      </c>
      <c r="CC40" s="65">
        <f t="shared" si="34"/>
        <v>28884.418464967159</v>
      </c>
      <c r="CD40" s="65">
        <f t="shared" si="34"/>
        <v>32492.860311463875</v>
      </c>
      <c r="CE40" s="131">
        <f t="shared" si="34"/>
        <v>35501.302157960592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11600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32204</v>
      </c>
      <c r="AH41" s="65">
        <f t="shared" ref="AH41:AI41" si="35">AH35-SUM(AH36:AH40)</f>
        <v>33080</v>
      </c>
      <c r="AI41" s="66">
        <f t="shared" si="35"/>
        <v>47138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6">
        <f>'Données à saisir'!E50</f>
        <v>357.14285714285717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2045.5549848965295</v>
      </c>
      <c r="AH42" s="57">
        <f>'Données à saisir'!C90+SUM('Données à saisir'!H70:H72)</f>
        <v>2145.5549848965293</v>
      </c>
      <c r="AI42" s="53">
        <f>'Données à saisir'!D90+SUM('Données à saisir'!I70:I72)</f>
        <v>2245.5549848965293</v>
      </c>
      <c r="AL42" s="63" t="s">
        <v>161</v>
      </c>
      <c r="AM42" s="64"/>
      <c r="AN42" s="64"/>
      <c r="AO42" s="131">
        <f>AO27</f>
        <v>23679.678262837948</v>
      </c>
      <c r="AP42" s="136"/>
      <c r="AQ42" s="131">
        <f>AQ27</f>
        <v>24339.27826283795</v>
      </c>
      <c r="AR42" s="136"/>
      <c r="AS42" s="128">
        <f>AS27</f>
        <v>35756.333761327602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2300</v>
      </c>
      <c r="AH43" s="57">
        <f>'Données à saisir'!D39</f>
        <v>2300</v>
      </c>
      <c r="AI43" s="53">
        <f>'Données à saisir'!E39</f>
        <v>2300</v>
      </c>
      <c r="AL43" s="122" t="s">
        <v>162</v>
      </c>
      <c r="AM43" s="1"/>
      <c r="AN43" s="1"/>
      <c r="AO43" s="132">
        <f>AO22</f>
        <v>2300</v>
      </c>
      <c r="AP43" s="137"/>
      <c r="AQ43" s="132">
        <f>AQ22</f>
        <v>2300</v>
      </c>
      <c r="AR43" s="137"/>
      <c r="AS43" s="127">
        <f>AS22</f>
        <v>2300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714.28571428571433</v>
      </c>
      <c r="Y44" s="113">
        <f>'Données à saisir'!D52</f>
        <v>714.28571428571433</v>
      </c>
      <c r="Z44" s="236">
        <f>'Données à saisir'!E52</f>
        <v>714.28571428571433</v>
      </c>
      <c r="AC44" s="63" t="s">
        <v>130</v>
      </c>
      <c r="AD44" s="64"/>
      <c r="AE44" s="64"/>
      <c r="AF44" s="64"/>
      <c r="AG44" s="65">
        <f>AG41-AG42-AG43</f>
        <v>27858.445015103469</v>
      </c>
      <c r="AH44" s="65">
        <f t="shared" ref="AH44:AI44" si="37">AH41-AH42-AH43</f>
        <v>28634.445015103469</v>
      </c>
      <c r="AI44" s="66">
        <f t="shared" si="37"/>
        <v>42592.445015103469</v>
      </c>
      <c r="AL44" s="63" t="s">
        <v>159</v>
      </c>
      <c r="AM44" s="64"/>
      <c r="AN44" s="64"/>
      <c r="AO44" s="131">
        <f>AO42+AO43</f>
        <v>25979.678262837948</v>
      </c>
      <c r="AP44" s="136"/>
      <c r="AQ44" s="131">
        <f t="shared" ref="AQ44:AS44" si="38">AQ42+AQ43</f>
        <v>26639.27826283795</v>
      </c>
      <c r="AR44" s="136"/>
      <c r="AS44" s="128">
        <f t="shared" si="38"/>
        <v>38056.333761327602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500</v>
      </c>
      <c r="Y45" s="113">
        <f>'Données à saisir'!D53</f>
        <v>500</v>
      </c>
      <c r="Z45" s="236">
        <f>'Données à saisir'!E53</f>
        <v>500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4178.7667522655202</v>
      </c>
      <c r="AH45" s="57">
        <f>IF(AC45="Impôt sur les sociétés",IF(AH44&lt;0,0,IF(AH44&gt;38120,38120*0.15+(AH44-38120)*25%,AH44*0.15)),"")</f>
        <v>4295.1667522655198</v>
      </c>
      <c r="AI45" s="53">
        <f>+IF(AC45="Impôt sur les sociétés",IF(AI44&lt;0,0,IF(AI44&gt;38120,38120*0.15+(AI44-38120)*25%,AI44*0.15)),"")</f>
        <v>6836.1112537758672</v>
      </c>
      <c r="AL45" s="123" t="s">
        <v>163</v>
      </c>
      <c r="AO45" s="132">
        <f>IF(ISERROR(SUM('Données à saisir'!J70:J72)),0,SUM('Données à saisir'!J70:J72))</f>
        <v>1657.1428571428573</v>
      </c>
      <c r="AP45" s="137"/>
      <c r="AQ45" s="132">
        <f>SUM('Données à saisir'!K70:K72)</f>
        <v>1657.1428571428573</v>
      </c>
      <c r="AR45" s="137"/>
      <c r="AS45" s="127">
        <f>SUM('Données à saisir'!L70:L72)</f>
        <v>1657.1428571428573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24322.535405695089</v>
      </c>
      <c r="AP46" s="138"/>
      <c r="AQ46" s="133">
        <f>AQ44-AQ45</f>
        <v>24982.135405695091</v>
      </c>
      <c r="AR46" s="138"/>
      <c r="AS46" s="129">
        <f>AS44-AS45</f>
        <v>36399.190904184747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45133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23679.678262837948</v>
      </c>
      <c r="AH47" s="65">
        <f t="shared" ref="AH47:AI47" si="39">AH44-SUM(AH45)</f>
        <v>24339.27826283795</v>
      </c>
      <c r="AI47" s="66">
        <f t="shared" si="39"/>
        <v>35756.333761327602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26600</v>
      </c>
      <c r="T48" s="109" t="s">
        <v>150</v>
      </c>
      <c r="U48" s="108"/>
      <c r="V48" s="108"/>
      <c r="W48" s="108"/>
      <c r="X48" s="112">
        <f>SUM(X31,X40)</f>
        <v>2300</v>
      </c>
      <c r="Y48" s="112">
        <f>SUM(Y31,Y40)</f>
        <v>2300</v>
      </c>
      <c r="Z48" s="118">
        <f>SUM(Z31,Z40)</f>
        <v>2300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61108.445015103469</v>
      </c>
      <c r="AH52" s="90">
        <f>AH35-SUM(AH36:AH38,AH42:AH43)</f>
        <v>86434.445015103469</v>
      </c>
      <c r="AI52" s="90">
        <f>AI35-SUM(AI36:AI38,AI42:AI43)</f>
        <v>110592.44501510347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2" sqref="A22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2023-07-26T12:47:10Z</dcterms:modified>
</cp:coreProperties>
</file>