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868E66F0-B3A7-4ED3-B6DD-FCDC269862F1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Q41" i="2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D70" i="1" l="1"/>
  <c r="L70" i="1" s="1"/>
  <c r="L73" i="1" s="1"/>
  <c r="B70" i="1"/>
  <c r="C70" i="1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CF15" i="2"/>
  <c r="C39" i="1"/>
  <c r="AS45" i="2" l="1"/>
  <c r="BL17" i="2" s="1"/>
  <c r="K70" i="1"/>
  <c r="AQ45" i="2" s="1"/>
  <c r="BK17" i="2" s="1"/>
  <c r="J70" i="1"/>
  <c r="AO45" i="2" s="1"/>
  <c r="BJ17" i="2" s="1"/>
  <c r="E70" i="1"/>
  <c r="G70" i="1" s="1"/>
  <c r="AG42" i="2" s="1"/>
  <c r="BS3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CD31" i="2"/>
  <c r="BV31" i="2"/>
  <c r="BU31" i="2"/>
  <c r="CC31" i="2"/>
  <c r="X31" i="2"/>
  <c r="CE31" i="2"/>
  <c r="CB31" i="2"/>
  <c r="E50" i="1"/>
  <c r="Z42" i="2" s="1"/>
  <c r="AI12" i="2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D39" i="1"/>
  <c r="E39" i="1" s="1"/>
  <c r="AI43" i="2" s="1"/>
  <c r="AG43" i="2"/>
  <c r="Z35" i="2"/>
  <c r="F44" i="1"/>
  <c r="G44" i="1" s="1"/>
  <c r="F70" i="1" l="1"/>
  <c r="K73" i="1"/>
  <c r="J73" i="1"/>
  <c r="BS26" i="2" s="1"/>
  <c r="I70" i="1"/>
  <c r="H70" i="1"/>
  <c r="AH42" i="2" s="1"/>
  <c r="AQ24" i="2" s="1"/>
  <c r="AQ25" i="2" s="1"/>
  <c r="AH14" i="2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BR26" i="2"/>
  <c r="BY26" i="2"/>
  <c r="BV26" i="2"/>
  <c r="CC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CE26" i="2" l="1"/>
  <c r="CB26" i="2"/>
  <c r="CD26" i="2"/>
  <c r="CD36" i="2" s="1"/>
  <c r="CD39" i="2" s="1"/>
  <c r="AI42" i="2"/>
  <c r="AS24" i="2" s="1"/>
  <c r="AS25" i="2" s="1"/>
  <c r="I73" i="1"/>
  <c r="AO18" i="2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Z31" i="2"/>
  <c r="BC11" i="2"/>
  <c r="BC36" i="2" s="1"/>
  <c r="AS14" i="2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T25" i="2" l="1"/>
  <c r="AI52" i="2"/>
  <c r="D142" i="1" s="1"/>
  <c r="BB39" i="2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<sst xmlns="http://schemas.openxmlformats.org/spreadsheetml/2006/main" count="453" uniqueCount="304">
  <si>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</si>
  <si>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</si>
  <si>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</si>
  <si>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</si>
  <si>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</si>
  <si>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</si>
  <si>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</si>
  <si>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</si>
  <si>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</si>
  <si>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</si>
  <si>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</si>
  <si>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</si>
  <si>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</si>
  <si>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</si>
  <si>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</si>
  <si>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</si>
  <si>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</si>
  <si>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</si>
  <si>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</si>
  <si>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</si>
  <si>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</si>
  <si>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</si>
  <si>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</si>
  <si>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</si>
  <si>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</si>
  <si>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</si>
  <si>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</si>
  <si>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</si>
  <si>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</si>
  <si>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</si>
  <si>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</si>
  <si>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</si>
  <si>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</si>
  <si>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</si>
  <si>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</si>
  <si>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</si>
  <si>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</si>
  <si>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</si>
  <si>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</si>
  <si>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</si>
  <si>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</si>
  <si>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</si>
  <si>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</si>
  <si>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</si>
  <si>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</si>
  <si>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</si>
  <si>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</si>
  <si>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</si>
  <si>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</si>
  <si>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</si>
  <si>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</si>
  <si>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</si>
  <si>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</si>
  <si>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</si>
  <si>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</si>
  <si>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</si>
  <si>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</si>
  <si>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</si>
  <si>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</si>
  <si>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</si>
  <si>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</si>
  <si>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</si>
  <si>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</si>
  <si>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</si>
  <si>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</si>
  <si>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</si>
  <si>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</si>
  <si>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</si>
  <si>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</si>
  <si>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</si>
  <si>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</si>
  <si>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</si>
  <si>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</si>
  <si>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</si>
  <si>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</si>
  <si>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</si>
  <si>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</si>
  <si>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</si>
  <si>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</si>
  <si>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</si>
  <si>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</si>
  <si>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</si>
  <si>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</si>
  <si>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</si>
  <si>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</si>
  <si>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</si>
  <si>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</si>
  <si>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</si>
  <si>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</si>
  <si>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</si>
  <si>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</si>
  <si>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</si>
  <si>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</si>
  <si>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</si>
  <si>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</si>
  <si>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</si>
  <si>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</si>
  <si>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</si>
  <si>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</si>
  <si>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</si>
  <si>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</si>
  <si>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</si>
  <si>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</si>
  <si>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</si>
  <si>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</si>
  <si>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</si>
  <si>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</si>
  <si>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</si>
  <si>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</si>
  <si>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</si>
  <si>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</si>
  <si>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</si>
  <si>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</si>
  <si>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</si>
  <si>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</si>
  <si>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</si>
  <si>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</si>
  <si>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</si>
  <si>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</si>
  <si>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</si>
  <si>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</si>
  <si>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</si>
  <si>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</si>
  <si>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</si>
  <si>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</si>
  <si>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</si>
  <si>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</si>
  <si>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</si>
  <si>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</si>
  <si>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</si>
  <si>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</si>
  <si>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</si>
  <si>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</si>
  <si>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</si>
  <si>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</si>
  <si>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</si>
  <si>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</si>
  <si>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</si>
  <si>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</si>
  <si>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</si>
  <si>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</si>
  <si>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</si>
  <si>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</si>
  <si>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</si>
  <si>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</si>
  <si>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</si>
  <si>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</si>
  <si>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</si>
  <si>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</si>
  <si>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</si>
  <si>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</si>
  <si>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</si>
  <si>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</si>
  <si>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</si>
  <si>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</si>
  <si>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</si>
  <si>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</si>
  <si>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</si>
  <si>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</si>
  <si>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</si>
  <si>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</si>
  <si>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</si>
  <si>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</si>
  <si>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</si>
  <si>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</si>
  <si>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</si>
  <si>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</si>
  <si>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</si>
  <si>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</si>
  <si>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</si>
  <si>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</si>
  <si>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</si>
  <si>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</si>
  <si>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</si>
  <si>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</si>
  <si>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</si>
  <si>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</si>
  <si>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</si>
  <si>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</si>
  <si>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</si>
  <si>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</si>
  <si>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</si>
  <si>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</si>
  <si>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</si>
  <si>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</si>
  <si>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</si>
  <si>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</si>
  <si>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</si>
  <si>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</si>
  <si>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</si>
  <si>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</si>
  <si>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</si>
  <si>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</si>
  <si>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</si>
  <si>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</si>
  <si>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</si>
  <si>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</si>
  <si>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</si>
  <si>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</si>
  <si>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</si>
  <si>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</si>
  <si>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</si>
  <si>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</si>
  <si>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</si>
  <si>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</si>
  <si>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</si>
  <si>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</si>
  <si>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</si>
  <si>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</si>
  <si>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</si>
  <si>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</si>
  <si>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</si>
  <si>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</si>
  <si>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</si>
  <si>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</si>
  <si>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</si>
  <si>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</si>
  <si>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</si>
  <si>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</si>
  <si>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</si>
  <si>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</si>
  <si>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</si>
  <si>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</si>
  <si>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</si>
  <si>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</si>
  <si>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</si>
  <si>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</si>
  <si>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</si>
  <si>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</si>
  <si>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</si>
  <si>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</si>
  <si>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</si>
  <si>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</si>
  <si>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</si>
  <si>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</si>
  <si>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</si>
  <si>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</si>
  <si>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</si>
  <si>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</si>
  <si>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</si>
  <si>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</si>
  <si>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</si>
  <si>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</si>
  <si>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</si>
  <si>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</si>
  <si>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</si>
  <si>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</si>
  <si>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</si>
  <si>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</si>
  <si>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</si>
  <si>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</si>
  <si>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</si>
  <si>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</si>
  <si>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</si>
  <si>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</si>
  <si>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</si>
  <si>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</si>
  <si>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</si>
  <si>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</si>
  <si>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</si>
  <si>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</si>
  <si>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</si>
  <si>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</si>
  <si>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</si>
  <si>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</si>
  <si>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</si>
  <si>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</si>
  <si>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</si>
  <si>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</si>
  <si>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</si>
  <si>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</si>
  <si>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</si>
  <si>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</si>
  <si>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</si>
  <si>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</si>
  <si>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</si>
  <si>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</si>
  <si>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</si>
  <si>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</si>
  <si>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</si>
  <si>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</si>
  <si>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</si>
  <si>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</si>
  <si>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</si>
  <si>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</si>
  <si>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</si>
  <si>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</si>
  <si>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</si>
  <si>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</si>
  <si>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</si>
  <si>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</si>
  <si>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</si>
  <si>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</si>
  <si>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</si>
  <si>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</si>
  <si>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</si>
  <si>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</si>
  <si>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</si>
  <si>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</si>
  <si>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</si>
  <si>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</si>
  <si>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</si>
  <si>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Droits de terrasse</t>
  </si>
  <si>
    <t>Concept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</si>
</sst>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303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90000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500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700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20000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15000</v>
      </c>
      <c r="C32" s="5" t="s">
        <v>17</v>
      </c>
    </row>
    <row r="33" spans="1:13" ht="15.25" thickBot="1" x14ac:dyDescent="0.3">
      <c r="A33" s="276" t="s">
        <v>40</v>
      </c>
      <c r="B33" s="255">
        <v>10500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150300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32300</v>
      </c>
      <c r="C39" s="116">
        <f t="shared" ref="C39:C54" si="0">IF(ISERROR($B39/$C$36),0,$B39/$C$36)</f>
        <v>4614.2857142857147</v>
      </c>
      <c r="D39" s="116">
        <f>IF($B39&gt;(SUM(C39:$C39)),IF(ISERROR($B39/$C$36),"",$B39/$C$36),0)</f>
        <v>4614.2857142857147</v>
      </c>
      <c r="E39" s="116">
        <f>IF($B39&gt;(SUM($C39:D39)),IF(ISERROR($B39/$C$36),"",$B39/$C$36),0)</f>
        <v>4614.2857142857147</v>
      </c>
      <c r="F39" s="116">
        <f>IF($B39&gt;(SUM($C39:E39)),IF(ISERROR($B39/$C$36),"",$B39/$C$36),0)</f>
        <v>4614.2857142857147</v>
      </c>
      <c r="G39" s="116">
        <f>IF($B39&gt;(SUM($C39:F39)),IF(ISERROR($B39/$C$36),"",$B39/$C$36),0)</f>
        <v>4614.2857142857147</v>
      </c>
      <c r="H39" s="116">
        <f>IF($B39&gt;(SUM($C39:G39)),IF(ISERROR($B39/$C$36),"",$B39/$C$36),0)</f>
        <v>4614.2857142857147</v>
      </c>
      <c r="I39" s="116">
        <f>IF($B39&gt;(SUM($C39:H39)),IF(ISERROR($B39/$C$36),"",$B39/$C$36),0)</f>
        <v>4614.2857142857147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32300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500</v>
      </c>
      <c r="I50" s="75">
        <f>IF($B50&gt;(SUM($C50:H50)),IF(ISERROR($B50/$C$36),"",$B50/$C$36),0)</f>
        <v>500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20000</v>
      </c>
      <c r="C52" s="75">
        <f t="shared" si="0"/>
        <v>2857.1428571428573</v>
      </c>
      <c r="D52" s="75">
        <f>IF($B52&gt;(SUM(C52:$C52)),IF(ISERROR($B52/$C$36),"",$B52/$C$36),0)</f>
        <v>2857.1428571428573</v>
      </c>
      <c r="E52" s="75">
        <f>IF($B52&gt;(SUM($C52:D52)),IF(ISERROR($B52/$C$36),"",$B52/$C$36),0)</f>
        <v>2857.1428571428573</v>
      </c>
      <c r="F52" s="75">
        <f>IF($B52&gt;(SUM($C52:E52)),IF(ISERROR($B52/$C$36),"",$B52/$C$36),0)</f>
        <v>2857.1428571428573</v>
      </c>
      <c r="G52" s="75">
        <f>IF($B52&gt;(SUM($C52:F52)),IF(ISERROR($B52/$C$36),"",$B52/$C$36),0)</f>
        <v>2857.1428571428573</v>
      </c>
      <c r="H52" s="75">
        <f>IF($B52&gt;(SUM($C52:G52)),IF(ISERROR($B52/$C$36),"",$B52/$C$36),0)</f>
        <v>2857.1428571428573</v>
      </c>
      <c r="I52" s="75">
        <f>IF($B52&gt;(SUM($C52:H52)),IF(ISERROR($B52/$C$36),"",$B52/$C$36),0)</f>
        <v>2857.1428571428573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20000.000000000004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571.42857142857144</v>
      </c>
      <c r="D53" s="75">
        <f>IF($B53&gt;(SUM(C53:$C53)),IF(ISERROR($B53/$C$36),"",$B53/$C$36),0)</f>
        <v>571.42857142857144</v>
      </c>
      <c r="E53" s="75">
        <f>IF($B53&gt;(SUM($C53:D53)),IF(ISERROR($B53/$C$36),"",$B53/$C$36),0)</f>
        <v>571.42857142857144</v>
      </c>
      <c r="F53" s="75">
        <f>IF($B53&gt;(SUM($C53:E53)),IF(ISERROR($B53/$C$36),"",$B53/$C$36),0)</f>
        <v>571.42857142857144</v>
      </c>
      <c r="G53" s="75">
        <f>IF($B53&gt;(SUM($C53:F53)),IF(ISERROR($B53/$C$36),"",$B53/$C$36),0)</f>
        <v>571.42857142857144</v>
      </c>
      <c r="H53" s="75">
        <f>IF($B53&gt;(SUM($C53:G53)),IF(ISERROR($B53/$C$36),"",$B53/$C$36),0)</f>
        <v>571.42857142857144</v>
      </c>
      <c r="I53" s="75">
        <f>IF($B53&gt;(SUM($C53:H53)),IF(ISERROR($B53/$C$36),"",$B53/$C$36),0)</f>
        <v>571.42857142857144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4000.0000000000005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75000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75300</v>
      </c>
      <c r="C61" s="257">
        <v>3.5000000000000003E-2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150300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1012.0207524888451</v>
      </c>
      <c r="C70" s="79">
        <f>B70*D61</f>
        <v>85009.743209062988</v>
      </c>
      <c r="D70" s="82">
        <f>IF(ISERROR(B61/D61),0,B61/D61)</f>
        <v>896.42857142857144</v>
      </c>
      <c r="E70" s="152">
        <f>B70-D70</f>
        <v>115.59218106027367</v>
      </c>
      <c r="F70" s="80">
        <f>E70*D61</f>
        <v>9709.7432090629882</v>
      </c>
      <c r="G70" s="153">
        <f>IF($D61&gt;12,$E70*12,$E70*$D61)</f>
        <v>1387.1061727232841</v>
      </c>
      <c r="H70" s="153">
        <f>IF($D61-12&lt;0,0,IF($D61&gt;24,$E70*12,($D61-12)*$E70))</f>
        <v>1387.1061727232841</v>
      </c>
      <c r="I70" s="153">
        <f>IF($D61-24&lt;0,0,IF($D61&gt;36,$E70*12,($D61-24)*$E70))</f>
        <v>1387.1061727232841</v>
      </c>
      <c r="J70" s="153">
        <f>IF($D61&gt;12,$D70*12,$D70*$D61)</f>
        <v>10757.142857142857</v>
      </c>
      <c r="K70" s="153">
        <f>IF($D61-12&lt;0,0,IF($D61&gt;24,$D70*12,($D61-12)*$D70))</f>
        <v>10757.142857142857</v>
      </c>
      <c r="L70" s="153">
        <f>IF($D61-24&lt;0,0,IF($D61&gt;36,$D70*12,($D61-24)*$D70))</f>
        <v>10757.142857142857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1387.1061727232841</v>
      </c>
      <c r="J73" s="203">
        <f t="shared" si="17"/>
        <v>10757.142857142857</v>
      </c>
      <c r="K73" s="203">
        <f t="shared" si="17"/>
        <v>10757.142857142857</v>
      </c>
      <c r="L73" s="203">
        <f t="shared" si="17"/>
        <v>10757.142857142857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700</v>
      </c>
      <c r="C77" s="260">
        <v>720</v>
      </c>
      <c r="D77" s="261">
        <v>730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1700</v>
      </c>
      <c r="D80" s="261">
        <v>1900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2800</v>
      </c>
      <c r="C82" s="260">
        <v>3000</v>
      </c>
      <c r="D82" s="261">
        <v>3200</v>
      </c>
      <c r="G82" s="233"/>
      <c r="H82" s="233"/>
    </row>
    <row r="83" spans="1:8" ht="15.1" customHeight="1" x14ac:dyDescent="0.25">
      <c r="A83" s="276" t="s">
        <v>25</v>
      </c>
      <c r="B83" s="259">
        <v>650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950</v>
      </c>
      <c r="C84" s="260">
        <v>1000</v>
      </c>
      <c r="D84" s="261">
        <v>1100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3000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23000</v>
      </c>
      <c r="C88" s="260">
        <v>23300</v>
      </c>
      <c r="D88" s="261">
        <v>23500</v>
      </c>
      <c r="E88" s="5"/>
    </row>
    <row r="89" spans="1:8" x14ac:dyDescent="0.25">
      <c r="A89" s="276" t="s">
        <v>30</v>
      </c>
      <c r="B89" s="259">
        <v>2600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300</v>
      </c>
      <c r="C93" s="260">
        <v>300</v>
      </c>
      <c r="D93" s="261">
        <v>300</v>
      </c>
      <c r="E93" s="89" t="s">
        <v>288</v>
      </c>
    </row>
    <row r="94" spans="1:8" x14ac:dyDescent="0.25">
      <c r="A94" s="278" t="s">
        <v>302</v>
      </c>
      <c r="B94" s="259">
        <v>550</v>
      </c>
      <c r="C94" s="260">
        <v>580</v>
      </c>
      <c r="D94" s="261">
        <v>610</v>
      </c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38850</v>
      </c>
      <c r="C97" s="10">
        <f>SUM(C77:C95)</f>
        <v>40620</v>
      </c>
      <c r="D97" s="10">
        <f>SUM(D77:D95)</f>
        <v>41780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400</v>
      </c>
      <c r="D103" s="12">
        <f>B103*C103</f>
        <v>8800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420</v>
      </c>
      <c r="D104" s="12">
        <f t="shared" ref="D104:D114" si="18">B104*C104</f>
        <v>9240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440</v>
      </c>
      <c r="D105" s="12">
        <f t="shared" si="18"/>
        <v>9680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460</v>
      </c>
      <c r="D106" s="12">
        <f t="shared" si="18"/>
        <v>10120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480</v>
      </c>
      <c r="D107" s="12">
        <f t="shared" si="18"/>
        <v>10560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500</v>
      </c>
      <c r="D108" s="12">
        <f t="shared" si="18"/>
        <v>11000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520</v>
      </c>
      <c r="D109" s="12">
        <f t="shared" si="18"/>
        <v>11440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540</v>
      </c>
      <c r="D110" s="12">
        <f t="shared" si="18"/>
        <v>8100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15</v>
      </c>
      <c r="C111" s="255">
        <v>560</v>
      </c>
      <c r="D111" s="12">
        <f t="shared" si="18"/>
        <v>8400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580</v>
      </c>
      <c r="D112" s="12">
        <f t="shared" si="18"/>
        <v>12760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600</v>
      </c>
      <c r="D113" s="12">
        <f t="shared" si="18"/>
        <v>13200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20</v>
      </c>
      <c r="C114" s="255">
        <v>800</v>
      </c>
      <c r="D114" s="12">
        <f t="shared" si="18"/>
        <v>16000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129300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0.3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0.4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>
        <v>8700</v>
      </c>
      <c r="D133" s="261">
        <v>9000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20000</v>
      </c>
      <c r="C134" s="260">
        <v>25000</v>
      </c>
      <c r="D134" s="261">
        <v>40000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6264</v>
      </c>
      <c r="D139" s="73">
        <f>D133*0.72</f>
        <v>6480</v>
      </c>
      <c r="F139" t="s">
        <v>90</v>
      </c>
      <c r="G139" s="245">
        <f>B133*0.72</f>
        <v>0</v>
      </c>
      <c r="H139" s="246">
        <f>C133*0.72</f>
        <v>6264</v>
      </c>
      <c r="I139" s="73">
        <f>D133*0.72</f>
        <v>6480</v>
      </c>
    </row>
    <row r="140" spans="1:9" ht="15.1" hidden="1" customHeight="1" x14ac:dyDescent="0.25">
      <c r="A140" t="s">
        <v>1</v>
      </c>
      <c r="B140" s="71">
        <f>+'Plan financier à imprimer'!AG11*12.6%</f>
        <v>16291.8</v>
      </c>
      <c r="C140" s="71">
        <f>+'Plan financier à imprimer'!AH11*12.6%</f>
        <v>21993.93</v>
      </c>
      <c r="D140" s="71">
        <f>+'Plan financier à imprimer'!AI11*12.6%</f>
        <v>28592.109</v>
      </c>
      <c r="E140" s="93" t="s">
        <v>132</v>
      </c>
      <c r="F140" t="s">
        <v>1</v>
      </c>
      <c r="G140" s="245">
        <f>+'Plan financier à imprimer'!AG11*6.3%</f>
        <v>8145.9</v>
      </c>
      <c r="H140" s="247">
        <f>+'Plan financier à imprimer'!AH11*12.6%</f>
        <v>21993.93</v>
      </c>
      <c r="I140" s="71">
        <f>+'Plan financier à imprimer'!AI11*12.6%</f>
        <v>28592.109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9818.5824338972998</v>
      </c>
      <c r="C142" s="71">
        <f>IF('Plan financier à imprimer'!AH52*30%&lt;3456,3456,'Plan financier à imprimer'!AH52*30%)</f>
        <v>12944.282433897301</v>
      </c>
      <c r="D142" s="71">
        <f>IF('Plan financier à imprimer'!AI52*30%&lt;3456,3456,'Plan financier à imprimer'!AI52*30%)</f>
        <v>21867.452433897299</v>
      </c>
      <c r="F142" t="s">
        <v>110</v>
      </c>
      <c r="G142" s="245">
        <v>1305</v>
      </c>
      <c r="H142" s="248">
        <f>IF('Plan financier à imprimer'!AH52*32%&lt;3456,3456,'Plan financier à imprimer'!AH52*32%)</f>
        <v>13807.234596157121</v>
      </c>
      <c r="I142" s="72">
        <f>IF('Plan financier à imprimer'!AI52*32%&lt;3456,3456,'Plan financier à imprimer'!AI52*32%)</f>
        <v>23325.282596157118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11250</v>
      </c>
      <c r="D143" s="71">
        <f>IF(D134*45%&lt;3456,3456,D134*45%)</f>
        <v>18000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18000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11250</v>
      </c>
      <c r="D144" s="71">
        <f>IF(D134*45%&lt;3456,3456,D134*45%)</f>
        <v>18000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18000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17500</v>
      </c>
      <c r="D145" s="71">
        <f t="shared" si="20"/>
        <v>28000</v>
      </c>
      <c r="F145" t="s">
        <v>112</v>
      </c>
      <c r="G145" s="245">
        <f>B134*33%</f>
        <v>6600</v>
      </c>
      <c r="H145" s="245">
        <f>C134*70%</f>
        <v>17500</v>
      </c>
      <c r="I145" s="245">
        <f>D134*70%</f>
        <v>28000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17500</v>
      </c>
      <c r="D146" s="71">
        <f t="shared" si="21"/>
        <v>28000</v>
      </c>
      <c r="F146" t="s">
        <v>113</v>
      </c>
      <c r="G146" s="245">
        <f>B134*33%</f>
        <v>6600</v>
      </c>
      <c r="H146" s="245">
        <f>C134*70%</f>
        <v>17500</v>
      </c>
      <c r="I146" s="245">
        <f>D134*70%</f>
        <v>28000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17500</v>
      </c>
      <c r="D147" s="73">
        <f>SUMIF($A$140:$A$146,$B$8,D140:D146)</f>
        <v>28000</v>
      </c>
      <c r="F147" s="1" t="s">
        <v>108</v>
      </c>
      <c r="G147" s="245">
        <f>SUMIF($A$140:$A$146,$B$8,G140:G146)</f>
        <v>6600</v>
      </c>
      <c r="H147" s="246">
        <f>SUMIF($A$140:$A$146,$B$8,H140:H146)</f>
        <v>17500</v>
      </c>
      <c r="I147" s="246">
        <f>SUMIF($A$140:$A$146,$B$8,I140:I146)</f>
        <v>28000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Concept store</v>
      </c>
      <c r="T6" s="1" t="s">
        <v>68</v>
      </c>
      <c r="V6" s="3" t="str">
        <f>IF(ISBLANK('Données à saisir'!$B7),"",('Données à saisir'!$B7))</f>
        <v>Concept store</v>
      </c>
      <c r="AC6" s="1" t="s">
        <v>68</v>
      </c>
      <c r="AE6" s="3" t="str">
        <f>IF(ISBLANK('Données à saisir'!$B7),"",('Données à saisir'!$B7))</f>
        <v>Concept store</v>
      </c>
      <c r="AL6" s="1" t="s">
        <v>68</v>
      </c>
      <c r="AN6" s="3" t="str">
        <f>IF(ISBLANK('Données à saisir'!$B7),"",('Données à saisir'!$B7))</f>
        <v>Concept store</v>
      </c>
      <c r="AW6" s="1" t="s">
        <v>68</v>
      </c>
      <c r="AY6" s="3" t="str">
        <f>IF(ISBLANK('Données à saisir'!$B7),"",('Données à saisir'!$B7))</f>
        <v>Concept store</v>
      </c>
      <c r="BF6" s="1" t="s">
        <v>68</v>
      </c>
      <c r="BH6" s="3" t="str">
        <f>IF(ISBLANK('Données à saisir'!$B7),"",('Données à saisir'!$B7))</f>
        <v>Concept store</v>
      </c>
      <c r="BO6" s="1" t="s">
        <v>68</v>
      </c>
      <c r="BQ6" s="3" t="str">
        <f>IF(ISBLANK('Données à saisir'!$B7),"",('Données à saisir'!$B7))</f>
        <v>Concept store</v>
      </c>
      <c r="BV6" s="193" t="s">
        <v>216</v>
      </c>
      <c r="BY6" s="1" t="s">
        <v>68</v>
      </c>
      <c r="CA6" s="3" t="str">
        <f>IF(ISBLANK('Données à saisir'!$B7),"",('Données à saisir'!$B7))</f>
        <v>Concept store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129300</v>
      </c>
      <c r="AH10" s="60">
        <f t="shared" ref="AH10:AI10" si="0">SUM(AH11:AH12)</f>
        <v>174555</v>
      </c>
      <c r="AI10" s="226">
        <f t="shared" si="0"/>
        <v>226921.5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129300</v>
      </c>
      <c r="AH11" s="62">
        <f>AG11+AG11*'Données à saisir'!D117</f>
        <v>174555</v>
      </c>
      <c r="AI11" s="54">
        <f>AH11+AH11*'Données à saisir'!D118</f>
        <v>226921.5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129300</v>
      </c>
      <c r="BB11" s="60">
        <f>AH10</f>
        <v>174555</v>
      </c>
      <c r="BC11" s="226">
        <f>AI10</f>
        <v>226921.5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95800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51720</v>
      </c>
      <c r="BB12" s="104">
        <f>AQ15</f>
        <v>69822</v>
      </c>
      <c r="BC12" s="120">
        <f>AS15</f>
        <v>90768.6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51720</v>
      </c>
      <c r="AH13" s="57">
        <f>AH14</f>
        <v>69822</v>
      </c>
      <c r="AI13" s="53">
        <f>AI14</f>
        <v>90768.6</v>
      </c>
      <c r="AL13" s="107" t="s">
        <v>153</v>
      </c>
      <c r="AM13" s="34"/>
      <c r="AN13" s="34"/>
      <c r="AO13" s="119">
        <f>AG10</f>
        <v>129300</v>
      </c>
      <c r="AP13" s="139">
        <v>1</v>
      </c>
      <c r="AQ13" s="119">
        <f>AH10</f>
        <v>174555</v>
      </c>
      <c r="AR13" s="140">
        <v>1</v>
      </c>
      <c r="AS13" s="119">
        <f>AI10</f>
        <v>226921.5</v>
      </c>
      <c r="AT13" s="141">
        <v>1</v>
      </c>
      <c r="AW13" s="123" t="s">
        <v>177</v>
      </c>
      <c r="BA13" s="104">
        <f>BA12</f>
        <v>51720</v>
      </c>
      <c r="BB13" s="104">
        <f t="shared" ref="BB13:BC13" si="1">BB12</f>
        <v>69822</v>
      </c>
      <c r="BC13" s="120">
        <f t="shared" si="1"/>
        <v>90768.6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51720</v>
      </c>
      <c r="AH14" s="62">
        <f>'Données à saisir'!$D$123*'Plan financier à imprimer'!AH11</f>
        <v>69822</v>
      </c>
      <c r="AI14" s="54">
        <f>'Données à saisir'!$D$123*'Plan financier à imprimer'!AI11</f>
        <v>90768.6</v>
      </c>
      <c r="AL14" s="38" t="s">
        <v>154</v>
      </c>
      <c r="AO14" s="104">
        <f>AG10</f>
        <v>129300</v>
      </c>
      <c r="AP14" s="142">
        <v>1</v>
      </c>
      <c r="AQ14" s="104">
        <f>AH10</f>
        <v>174555</v>
      </c>
      <c r="AR14" s="143">
        <v>1</v>
      </c>
      <c r="AS14" s="104">
        <f>AI10</f>
        <v>226921.5</v>
      </c>
      <c r="AT14" s="144">
        <v>1</v>
      </c>
      <c r="AW14" s="123" t="s">
        <v>178</v>
      </c>
      <c r="BA14" s="57">
        <f>BA11-BA13</f>
        <v>77580</v>
      </c>
      <c r="BB14" s="57">
        <f t="shared" ref="BB14:BC14" si="2">BB11-BB13</f>
        <v>104733</v>
      </c>
      <c r="BC14" s="53">
        <f t="shared" si="2"/>
        <v>136152.9</v>
      </c>
      <c r="BF14" s="186" t="s">
        <v>201</v>
      </c>
      <c r="BG14" s="52"/>
      <c r="BH14" s="52"/>
      <c r="BI14" s="52"/>
      <c r="BJ14" s="187">
        <f>Q12+Q23</f>
        <v>124800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20000</v>
      </c>
      <c r="Y15" s="60">
        <f>'Données à saisir'!C134</f>
        <v>25000</v>
      </c>
      <c r="Z15" s="61">
        <f>'Données à saisir'!D134</f>
        <v>40000</v>
      </c>
      <c r="AC15" s="67"/>
      <c r="AG15" s="62"/>
      <c r="AH15" s="62"/>
      <c r="AI15" s="69"/>
      <c r="AL15" s="70" t="s">
        <v>80</v>
      </c>
      <c r="AO15" s="104">
        <f>AG14</f>
        <v>51720</v>
      </c>
      <c r="AP15" s="145">
        <f>AO15/$AO$14</f>
        <v>0.4</v>
      </c>
      <c r="AQ15" s="104">
        <f>AH14</f>
        <v>69822</v>
      </c>
      <c r="AR15" s="145">
        <f>AQ15/$AQ$14</f>
        <v>0.4</v>
      </c>
      <c r="AS15" s="104">
        <f>AI14</f>
        <v>90768.6</v>
      </c>
      <c r="AT15" s="146">
        <f>AS15/$AS$14</f>
        <v>0.4</v>
      </c>
      <c r="AW15" s="63" t="s">
        <v>195</v>
      </c>
      <c r="AX15" s="64"/>
      <c r="AY15" s="64"/>
      <c r="AZ15" s="64"/>
      <c r="BA15" s="154">
        <f>IF(ISERROR(BA14/BA11),0,BA14/BA11)</f>
        <v>0.6</v>
      </c>
      <c r="BB15" s="154">
        <f t="shared" ref="BB15:BC15" si="3">IF(ISERROR(BB14/BB11),0,BB14/BB11)</f>
        <v>0.6</v>
      </c>
      <c r="BC15" s="158">
        <f t="shared" si="3"/>
        <v>0.6</v>
      </c>
      <c r="BF15" s="123" t="s">
        <v>266</v>
      </c>
      <c r="BJ15" s="104">
        <f>Q30</f>
        <v>15000</v>
      </c>
      <c r="BK15" s="104"/>
      <c r="BL15" s="120"/>
      <c r="BO15" s="192" t="s">
        <v>202</v>
      </c>
      <c r="BP15" s="52"/>
      <c r="BQ15" s="52"/>
      <c r="BR15" s="187">
        <f>BJ19</f>
        <v>75000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75000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0.25</v>
      </c>
      <c r="Z16" s="103">
        <f>IF(ISERROR((Z15-Y15)/Y15),"",(Z15-Y15)/Y15)</f>
        <v>0.6</v>
      </c>
      <c r="AC16" s="63" t="s">
        <v>127</v>
      </c>
      <c r="AD16" s="64"/>
      <c r="AE16" s="64"/>
      <c r="AF16" s="64"/>
      <c r="AG16" s="65">
        <f>AG10-AG13</f>
        <v>77580</v>
      </c>
      <c r="AH16" s="65">
        <f>AH10-AH13</f>
        <v>104733</v>
      </c>
      <c r="AI16" s="66">
        <f>AI10-AI13</f>
        <v>136152.9</v>
      </c>
      <c r="AL16" s="63" t="s">
        <v>156</v>
      </c>
      <c r="AM16" s="64"/>
      <c r="AN16" s="64"/>
      <c r="AO16" s="65">
        <f>AO14-AO15</f>
        <v>77580</v>
      </c>
      <c r="AP16" s="147">
        <f t="shared" ref="AP16:AP28" si="5">AO16/$AO$14</f>
        <v>0.6</v>
      </c>
      <c r="AQ16" s="65">
        <f t="shared" ref="AQ16:AS16" si="6">AQ14-AQ15</f>
        <v>104733</v>
      </c>
      <c r="AR16" s="148">
        <f t="shared" ref="AR16:AR28" si="7">AQ16/$AQ$14</f>
        <v>0.6</v>
      </c>
      <c r="AS16" s="65">
        <f t="shared" si="6"/>
        <v>136152.9</v>
      </c>
      <c r="AT16" s="150">
        <f t="shared" ref="AT16:AT28" si="8">AS16/$AS$14</f>
        <v>0.6</v>
      </c>
      <c r="AW16" s="123" t="s">
        <v>179</v>
      </c>
      <c r="BA16" s="104">
        <f>SUM(AO17,AO19,AO20,AO22,AO24)</f>
        <v>71451.391887008998</v>
      </c>
      <c r="BB16" s="104">
        <f>SUM(AQ17,AQ19,AQ20,AQ22,AQ24)</f>
        <v>104085.391887009</v>
      </c>
      <c r="BC16" s="159">
        <f>SUM(AS17,AS19,AS20,AS22,AS24)</f>
        <v>131261.391887009</v>
      </c>
      <c r="BF16" s="123" t="s">
        <v>199</v>
      </c>
      <c r="BJ16" s="104">
        <f>BA39</f>
        <v>-4250.9589041095896</v>
      </c>
      <c r="BK16" s="104">
        <f>BB39-BA39</f>
        <v>-1487.8356164383558</v>
      </c>
      <c r="BL16" s="120">
        <f>+BC39-BB39</f>
        <v>-1721.6383561643834</v>
      </c>
      <c r="BO16" s="123" t="s">
        <v>203</v>
      </c>
      <c r="BR16" s="104">
        <f>BJ20</f>
        <v>75300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75300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6600</v>
      </c>
      <c r="Y17" s="57">
        <f>AH40</f>
        <v>17500</v>
      </c>
      <c r="Z17" s="53">
        <f>AI40</f>
        <v>28000</v>
      </c>
      <c r="AC17" s="37" t="s">
        <v>128</v>
      </c>
      <c r="AG17" s="57">
        <f>SUM(AG18:AG33)</f>
        <v>38100</v>
      </c>
      <c r="AH17" s="57">
        <f>SUM(AH18:AH33)</f>
        <v>38820</v>
      </c>
      <c r="AI17" s="68">
        <f>SUM(AI18:AI33)</f>
        <v>39830</v>
      </c>
      <c r="AL17" s="70" t="s">
        <v>81</v>
      </c>
      <c r="AO17" s="104">
        <f>AG17</f>
        <v>38100</v>
      </c>
      <c r="AP17" s="145">
        <f t="shared" si="5"/>
        <v>0.29466357308584684</v>
      </c>
      <c r="AQ17" s="104">
        <f>AH17</f>
        <v>38820</v>
      </c>
      <c r="AR17" s="149">
        <f t="shared" si="7"/>
        <v>0.22239408782332215</v>
      </c>
      <c r="AS17" s="104">
        <f>AI17</f>
        <v>39830</v>
      </c>
      <c r="AT17" s="146">
        <f t="shared" si="8"/>
        <v>0.17552325363616933</v>
      </c>
      <c r="AW17" s="63" t="s">
        <v>196</v>
      </c>
      <c r="AX17" s="64"/>
      <c r="AY17" s="64"/>
      <c r="AZ17" s="64"/>
      <c r="BA17" s="65">
        <f>BA12+BA16</f>
        <v>123171.391887009</v>
      </c>
      <c r="BB17" s="65">
        <f t="shared" ref="BB17:BC17" si="9">BB12+BB16</f>
        <v>173907.391887009</v>
      </c>
      <c r="BC17" s="66">
        <f t="shared" si="9"/>
        <v>222029.991887009</v>
      </c>
      <c r="BF17" s="123" t="s">
        <v>200</v>
      </c>
      <c r="BJ17" s="104">
        <f>AO45</f>
        <v>10757.142857142857</v>
      </c>
      <c r="BK17" s="104">
        <f>AQ45</f>
        <v>10757.142857142857</v>
      </c>
      <c r="BL17" s="120">
        <f>AS45</f>
        <v>10757.142857142857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90000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700</v>
      </c>
      <c r="AH18" s="62">
        <f>IF(ISBLANK('Données à saisir'!C77),0,'Données à saisir'!C77)</f>
        <v>720</v>
      </c>
      <c r="AI18" s="54">
        <f>IF(ISBLANK('Données à saisir'!D77),0,'Données à saisir'!D77)</f>
        <v>730</v>
      </c>
      <c r="AL18" s="63" t="s">
        <v>129</v>
      </c>
      <c r="AM18" s="64"/>
      <c r="AN18" s="64"/>
      <c r="AO18" s="65">
        <f>AO16-AO17</f>
        <v>39480</v>
      </c>
      <c r="AP18" s="147">
        <f t="shared" si="5"/>
        <v>0.30533642691415314</v>
      </c>
      <c r="AQ18" s="65">
        <f t="shared" ref="AQ18:AS18" si="10">AQ16-AQ17</f>
        <v>65913</v>
      </c>
      <c r="AR18" s="148">
        <f t="shared" si="7"/>
        <v>0.37760591217667783</v>
      </c>
      <c r="AS18" s="65">
        <f t="shared" si="10"/>
        <v>96322.9</v>
      </c>
      <c r="AT18" s="150">
        <f t="shared" si="8"/>
        <v>0.42447674636383065</v>
      </c>
      <c r="AW18" s="123" t="s">
        <v>180</v>
      </c>
      <c r="BA18" s="104">
        <f>AG44</f>
        <v>6128.6081129910008</v>
      </c>
      <c r="BB18" s="104">
        <f>AH44</f>
        <v>647.60811299100078</v>
      </c>
      <c r="BC18" s="159">
        <f>AI44</f>
        <v>4891.508112990995</v>
      </c>
      <c r="BF18" s="63" t="s">
        <v>198</v>
      </c>
      <c r="BG18" s="64"/>
      <c r="BH18" s="64"/>
      <c r="BI18" s="64"/>
      <c r="BJ18" s="188">
        <f>SUM(BJ14:BJ17)</f>
        <v>146306.18395303327</v>
      </c>
      <c r="BK18" s="189">
        <f>SUM(BK14:BK17)</f>
        <v>9269.3072407045001</v>
      </c>
      <c r="BL18" s="190">
        <f>SUM(BL14:BL17)</f>
        <v>9035.5045009784735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8700</v>
      </c>
      <c r="Z19" s="61">
        <f>'Données à saisir'!D133</f>
        <v>9000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5.7288533699979948E-3</v>
      </c>
      <c r="AS19" s="104">
        <f>AI36</f>
        <v>1100</v>
      </c>
      <c r="AT19" s="146">
        <f t="shared" si="8"/>
        <v>4.8474913130752261E-3</v>
      </c>
      <c r="AW19" s="63" t="s">
        <v>197</v>
      </c>
      <c r="AX19" s="64"/>
      <c r="AY19" s="64"/>
      <c r="AZ19" s="64"/>
      <c r="BA19" s="65">
        <f>IF(ISERROR(BA16/BA15),0,BA16/BA15)</f>
        <v>119085.65314501501</v>
      </c>
      <c r="BB19" s="65">
        <f t="shared" ref="BB19:BC19" si="11">IF(ISERROR(BB16/BB15),0,BB16/BB15)</f>
        <v>173475.65314501501</v>
      </c>
      <c r="BC19" s="66">
        <f t="shared" si="11"/>
        <v>218768.98647834835</v>
      </c>
      <c r="BF19" s="123" t="s">
        <v>202</v>
      </c>
      <c r="BJ19" s="104">
        <f>Q37</f>
        <v>75000</v>
      </c>
      <c r="BK19" s="104"/>
      <c r="BL19" s="159"/>
      <c r="BO19" s="192" t="s">
        <v>213</v>
      </c>
      <c r="BP19" s="34"/>
      <c r="BQ19" s="34"/>
      <c r="BR19" s="119">
        <f>'Données à saisir'!D103</f>
        <v>8800</v>
      </c>
      <c r="BS19" s="119">
        <f>'Données à saisir'!D104</f>
        <v>9240</v>
      </c>
      <c r="BT19" s="119">
        <f>'Données à saisir'!D105</f>
        <v>9680</v>
      </c>
      <c r="BU19" s="119">
        <f>'Données à saisir'!D106</f>
        <v>10120</v>
      </c>
      <c r="BV19" s="209">
        <f>'Données à saisir'!D107</f>
        <v>10560</v>
      </c>
      <c r="BY19" s="210">
        <f>'Données à saisir'!D108</f>
        <v>11000</v>
      </c>
      <c r="BZ19" s="119">
        <f>'Données à saisir'!D109</f>
        <v>11440</v>
      </c>
      <c r="CA19" s="119">
        <f>'Données à saisir'!D110</f>
        <v>8100</v>
      </c>
      <c r="CB19" s="119">
        <f>'Données à saisir'!D111</f>
        <v>8400</v>
      </c>
      <c r="CC19" s="119">
        <f>'Données à saisir'!D112</f>
        <v>12760</v>
      </c>
      <c r="CD19" s="119">
        <f>'Données à saisir'!D113</f>
        <v>13200</v>
      </c>
      <c r="CE19" s="211">
        <f>'Données à saisir'!D114</f>
        <v>16000</v>
      </c>
      <c r="CF19" s="213">
        <f>SUM(BR19:CE19)</f>
        <v>129300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 t="str">
        <f>IF(ISERROR((Y19-X19)/X19),"",(Y19-X19)/X19)</f>
        <v/>
      </c>
      <c r="Z20" s="103">
        <f>IF(ISERROR((Z19-Y19)/Y19),"",(Z19-Y19)/Y19)</f>
        <v>3.4482758620689655E-2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26600</v>
      </c>
      <c r="AP20" s="145">
        <f t="shared" si="5"/>
        <v>0.205723124516628</v>
      </c>
      <c r="AQ20" s="104">
        <f>SUM(AH37:AH40)</f>
        <v>57464</v>
      </c>
      <c r="AR20" s="149">
        <f t="shared" si="7"/>
        <v>0.32920283005356477</v>
      </c>
      <c r="AS20" s="104">
        <f>SUM(AI37:AI40)</f>
        <v>83480</v>
      </c>
      <c r="AT20" s="146">
        <f t="shared" si="8"/>
        <v>0.36788052255956355</v>
      </c>
      <c r="AW20" s="123" t="s">
        <v>181</v>
      </c>
      <c r="BA20" s="104">
        <f>BA11-BA19</f>
        <v>10214.346854984993</v>
      </c>
      <c r="BB20" s="104">
        <f t="shared" ref="BB20:BC20" si="12">BB11-BB19</f>
        <v>1079.3468549849931</v>
      </c>
      <c r="BC20" s="120">
        <f t="shared" si="12"/>
        <v>8152.5135216516501</v>
      </c>
      <c r="BF20" s="123" t="s">
        <v>203</v>
      </c>
      <c r="BJ20" s="104">
        <f>Q40</f>
        <v>75300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144</v>
      </c>
      <c r="X21" s="57">
        <f>'Données à saisir'!B139</f>
        <v>0</v>
      </c>
      <c r="Y21" s="57">
        <f>'Données à saisir'!C139</f>
        <v>6264</v>
      </c>
      <c r="Z21" s="53">
        <f>'Données à saisir'!D139</f>
        <v>6480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1700</v>
      </c>
      <c r="AI21" s="54">
        <f>IF(ISBLANK('Données à saisir'!D80),0,'Données à saisir'!D80)</f>
        <v>1900</v>
      </c>
      <c r="AL21" s="63" t="s">
        <v>130</v>
      </c>
      <c r="AM21" s="64"/>
      <c r="AN21" s="64"/>
      <c r="AO21" s="65">
        <f>AO18-AO19-AO20</f>
        <v>12880</v>
      </c>
      <c r="AP21" s="147">
        <f t="shared" si="5"/>
        <v>9.9613302397525139E-2</v>
      </c>
      <c r="AQ21" s="65">
        <f t="shared" ref="AQ21:AS21" si="14">AQ18-AQ19-AQ20</f>
        <v>7449</v>
      </c>
      <c r="AR21" s="148">
        <f t="shared" si="7"/>
        <v>4.2674228753115065E-2</v>
      </c>
      <c r="AS21" s="65">
        <f t="shared" si="14"/>
        <v>11742.899999999994</v>
      </c>
      <c r="AT21" s="150">
        <f t="shared" si="8"/>
        <v>5.1748732491191864E-2</v>
      </c>
      <c r="AW21" s="208" t="s">
        <v>182</v>
      </c>
      <c r="AX21" s="36"/>
      <c r="AY21" s="36"/>
      <c r="AZ21" s="36"/>
      <c r="BA21" s="156">
        <f>BA19/250</f>
        <v>476.34261258006001</v>
      </c>
      <c r="BB21" s="156">
        <f t="shared" ref="BB21:BC21" si="15">BB19/250</f>
        <v>693.90261258006001</v>
      </c>
      <c r="BC21" s="157">
        <f t="shared" si="15"/>
        <v>875.07594591339341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8800</v>
      </c>
      <c r="BS21" s="65">
        <f t="shared" ref="BS21:BV21" si="16">SUM(BS19:BS20)</f>
        <v>9240</v>
      </c>
      <c r="BT21" s="65">
        <f t="shared" si="16"/>
        <v>9680</v>
      </c>
      <c r="BU21" s="65">
        <f t="shared" si="16"/>
        <v>10120</v>
      </c>
      <c r="BV21" s="66">
        <f t="shared" si="16"/>
        <v>10560</v>
      </c>
      <c r="BY21" s="197">
        <f t="shared" ref="BY21:CE21" si="17">SUM(BY19:BY20)</f>
        <v>11000</v>
      </c>
      <c r="BZ21" s="65">
        <f t="shared" si="17"/>
        <v>11440</v>
      </c>
      <c r="CA21" s="65">
        <f t="shared" si="17"/>
        <v>8100</v>
      </c>
      <c r="CB21" s="65">
        <f t="shared" si="17"/>
        <v>8400</v>
      </c>
      <c r="CC21" s="65">
        <f t="shared" si="17"/>
        <v>12760</v>
      </c>
      <c r="CD21" s="65">
        <f t="shared" si="17"/>
        <v>13200</v>
      </c>
      <c r="CE21" s="131">
        <f t="shared" si="17"/>
        <v>16000</v>
      </c>
      <c r="CF21" s="200">
        <f t="shared" si="13"/>
        <v>129300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4614.2857142857147</v>
      </c>
      <c r="AP22" s="145">
        <f t="shared" si="5"/>
        <v>3.5686664456966083E-2</v>
      </c>
      <c r="AQ22" s="104">
        <f>AH43</f>
        <v>4614.2857142857147</v>
      </c>
      <c r="AR22" s="149">
        <f t="shared" si="7"/>
        <v>2.6434566264419323E-2</v>
      </c>
      <c r="AS22" s="104">
        <f>AI43</f>
        <v>4614.2857142857147</v>
      </c>
      <c r="AT22" s="146">
        <f t="shared" si="8"/>
        <v>2.0334281741861016E-2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95800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95800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29000</v>
      </c>
      <c r="AC23" s="44" t="str">
        <f>'Données à saisir'!A82</f>
        <v>Eau, électricité, gaz</v>
      </c>
      <c r="AG23" s="62">
        <f>IF(ISBLANK('Données à saisir'!B82),0,'Données à saisir'!B82)</f>
        <v>2800</v>
      </c>
      <c r="AH23" s="62">
        <f>IF(ISBLANK('Données à saisir'!C82),0,'Données à saisir'!C82)</f>
        <v>3000</v>
      </c>
      <c r="AI23" s="54">
        <f>IF(ISBLANK('Données à saisir'!D82),0,'Données à saisir'!D82)</f>
        <v>3200</v>
      </c>
      <c r="AL23" s="63" t="s">
        <v>158</v>
      </c>
      <c r="AM23" s="64"/>
      <c r="AN23" s="64"/>
      <c r="AO23" s="65">
        <f>AO21-AO22</f>
        <v>8265.7142857142862</v>
      </c>
      <c r="AP23" s="147">
        <f t="shared" si="5"/>
        <v>6.3926637940559056E-2</v>
      </c>
      <c r="AQ23" s="65">
        <f t="shared" ref="AQ23:AS23" si="18">AQ21-AQ22</f>
        <v>2834.7142857142853</v>
      </c>
      <c r="AR23" s="148">
        <f t="shared" si="7"/>
        <v>1.6239662488695742E-2</v>
      </c>
      <c r="AS23" s="65">
        <f t="shared" si="18"/>
        <v>7128.6142857142795</v>
      </c>
      <c r="AT23" s="150">
        <f t="shared" si="8"/>
        <v>3.1414450749330844E-2</v>
      </c>
      <c r="AW23" s="4"/>
      <c r="BA23" s="99"/>
      <c r="BB23" s="99"/>
      <c r="BC23" s="99"/>
      <c r="BF23" s="123" t="s">
        <v>206</v>
      </c>
      <c r="BJ23" s="104">
        <f>AO44</f>
        <v>9823.6026103280674</v>
      </c>
      <c r="BK23" s="104">
        <f>AQ44</f>
        <v>5164.7526103280661</v>
      </c>
      <c r="BL23" s="159">
        <f>AS44</f>
        <v>8772.0676103280603</v>
      </c>
      <c r="BO23" s="123" t="s">
        <v>70</v>
      </c>
      <c r="BR23" s="104">
        <f>Q23</f>
        <v>29000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29000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650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2137.1061727232841</v>
      </c>
      <c r="AP24" s="145">
        <f t="shared" si="5"/>
        <v>1.652827666452656E-2</v>
      </c>
      <c r="AQ24" s="104">
        <f>AH42</f>
        <v>2187.1061727232841</v>
      </c>
      <c r="AR24" s="149">
        <f t="shared" si="7"/>
        <v>1.2529610568149203E-2</v>
      </c>
      <c r="AS24" s="104">
        <f>AI42</f>
        <v>2237.1061727232841</v>
      </c>
      <c r="AT24" s="146">
        <f t="shared" si="8"/>
        <v>9.8585024897300793E-3</v>
      </c>
      <c r="BF24" s="63" t="s">
        <v>207</v>
      </c>
      <c r="BG24" s="64"/>
      <c r="BH24" s="64"/>
      <c r="BI24" s="64"/>
      <c r="BJ24" s="65">
        <f>SUM(BJ19:BJ23)</f>
        <v>160123.60261032806</v>
      </c>
      <c r="BK24" s="65">
        <f>SUM(BK19:BK23)</f>
        <v>5164.7526103280661</v>
      </c>
      <c r="BL24" s="66">
        <f>SUM(BL19:BL23)</f>
        <v>8772.0676103280603</v>
      </c>
      <c r="BO24" s="63" t="s">
        <v>227</v>
      </c>
      <c r="BP24" s="64"/>
      <c r="BQ24" s="64"/>
      <c r="BR24" s="65">
        <f>SUM(BR22:BR23)</f>
        <v>124800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124800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950</v>
      </c>
      <c r="AH25" s="62">
        <f>IF(ISBLANK('Données à saisir'!C84),0,'Données à saisir'!C84)</f>
        <v>1000</v>
      </c>
      <c r="AI25" s="54">
        <f>IF(ISBLANK('Données à saisir'!D84),0,'Données à saisir'!D84)</f>
        <v>1100</v>
      </c>
      <c r="AL25" s="38" t="s">
        <v>159</v>
      </c>
      <c r="AM25" s="1"/>
      <c r="AN25" s="1"/>
      <c r="AO25" s="104">
        <f>AO24*-1</f>
        <v>-2137.1061727232841</v>
      </c>
      <c r="AP25" s="145">
        <f t="shared" si="5"/>
        <v>-1.652827666452656E-2</v>
      </c>
      <c r="AQ25" s="104">
        <f t="shared" ref="AQ25:AS25" si="19">AQ24*-1</f>
        <v>-2187.1061727232841</v>
      </c>
      <c r="AR25" s="149">
        <f t="shared" si="7"/>
        <v>-1.2529610568149203E-2</v>
      </c>
      <c r="AS25" s="104">
        <f t="shared" si="19"/>
        <v>-2237.1061727232841</v>
      </c>
      <c r="AT25" s="146">
        <f t="shared" si="8"/>
        <v>-9.8585024897300793E-3</v>
      </c>
      <c r="BA25" s="90"/>
      <c r="BF25" s="123" t="s">
        <v>208</v>
      </c>
      <c r="BJ25" s="104">
        <f>BJ24-BJ18</f>
        <v>13817.418657294795</v>
      </c>
      <c r="BK25" s="104">
        <f>BK24-BK18</f>
        <v>-4104.554630376434</v>
      </c>
      <c r="BL25" s="120">
        <f>BL24-BL18</f>
        <v>-263.43689065041326</v>
      </c>
      <c r="BO25" s="123" t="s">
        <v>261</v>
      </c>
      <c r="BR25" s="104">
        <f>Q30</f>
        <v>15000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20000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161</v>
      </c>
      <c r="AM26" s="64"/>
      <c r="AN26" s="64"/>
      <c r="AO26" s="65">
        <f>AO23+AO25</f>
        <v>6128.6081129910017</v>
      </c>
      <c r="AP26" s="147">
        <f t="shared" si="5"/>
        <v>4.7398361276032495E-2</v>
      </c>
      <c r="AQ26" s="65">
        <f t="shared" ref="AQ26:AS26" si="21">AQ23+AQ25</f>
        <v>647.60811299100124</v>
      </c>
      <c r="AR26" s="148">
        <f t="shared" si="7"/>
        <v>3.7100519205465398E-3</v>
      </c>
      <c r="AS26" s="65">
        <f t="shared" si="21"/>
        <v>4891.5081129909959</v>
      </c>
      <c r="AT26" s="150">
        <f t="shared" si="8"/>
        <v>2.155594825960077E-2</v>
      </c>
      <c r="BF26" s="63" t="s">
        <v>262</v>
      </c>
      <c r="BG26" s="64"/>
      <c r="BH26" s="64"/>
      <c r="BI26" s="64"/>
      <c r="BJ26" s="65">
        <f>BJ25</f>
        <v>13817.418657294795</v>
      </c>
      <c r="BK26" s="65">
        <f>BJ26+BK25</f>
        <v>9712.8640269183597</v>
      </c>
      <c r="BL26" s="66">
        <f>+BK26+BL25</f>
        <v>9449.4271362679465</v>
      </c>
      <c r="BO26" s="123" t="s">
        <v>228</v>
      </c>
      <c r="BR26" s="104">
        <f>IF(ISERROR('Données à saisir'!$J$73/12),0,'Données à saisir'!$J$73/12)</f>
        <v>896.42857142857144</v>
      </c>
      <c r="BS26" s="104">
        <f>IF(ISERROR('Données à saisir'!$J$73/12),0,'Données à saisir'!$J$73/12)</f>
        <v>896.42857142857144</v>
      </c>
      <c r="BT26" s="104">
        <f>IF(ISERROR('Données à saisir'!$J$73/12),0,'Données à saisir'!$J$73/12)</f>
        <v>896.42857142857144</v>
      </c>
      <c r="BU26" s="104">
        <f>IF(ISERROR('Données à saisir'!$J$73/12),0,'Données à saisir'!$J$73/12)</f>
        <v>896.42857142857144</v>
      </c>
      <c r="BV26" s="120">
        <f>IF(ISERROR('Données à saisir'!$J$73/12),0,'Données à saisir'!$J$73/12)</f>
        <v>896.42857142857144</v>
      </c>
      <c r="BY26" s="196">
        <f>IF(ISERROR('Données à saisir'!$J$73/12),0,'Données à saisir'!$J$73/12)</f>
        <v>896.42857142857144</v>
      </c>
      <c r="BZ26" s="104">
        <f>IF(ISERROR('Données à saisir'!$J$73/12),0,'Données à saisir'!$J$73/12)</f>
        <v>896.42857142857144</v>
      </c>
      <c r="CA26" s="104">
        <f>IF(ISERROR('Données à saisir'!$J$73/12),0,'Données à saisir'!$J$73/12)</f>
        <v>896.42857142857144</v>
      </c>
      <c r="CB26" s="104">
        <f>IF(ISERROR('Données à saisir'!$J$73/12),0,'Données à saisir'!$J$73/12)</f>
        <v>896.42857142857144</v>
      </c>
      <c r="CC26" s="104">
        <f>IF(ISERROR('Données à saisir'!$J$73/12),0,'Données à saisir'!$J$73/12)</f>
        <v>896.42857142857144</v>
      </c>
      <c r="CD26" s="104">
        <f>IF(ISERROR('Données à saisir'!$J$73/12),0,'Données à saisir'!$J$73/12)</f>
        <v>896.42857142857144</v>
      </c>
      <c r="CE26" s="132">
        <f>IF(ISERROR('Données à saisir'!$J$73/12),0,'Données à saisir'!$J$73/12)</f>
        <v>896.42857142857144</v>
      </c>
      <c r="CF26" s="201">
        <f t="shared" si="20"/>
        <v>10757.142857142855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5209.3168960423518</v>
      </c>
      <c r="AP27" s="147">
        <f t="shared" si="5"/>
        <v>4.0288607084627621E-2</v>
      </c>
      <c r="AQ27" s="65">
        <f>IF(ISERROR(AQ26-AH45),AQ26,(AQ26-AH45))</f>
        <v>550.4668960423511</v>
      </c>
      <c r="AR27" s="148">
        <f t="shared" si="7"/>
        <v>3.1535441324645592E-3</v>
      </c>
      <c r="AS27" s="65">
        <f>IF(ISERROR(AS26-AI45),AS26,(AS26-AI45))</f>
        <v>4157.7818960423465</v>
      </c>
      <c r="AT27" s="150">
        <f t="shared" si="8"/>
        <v>1.8322556020660654E-2</v>
      </c>
      <c r="BO27" s="123" t="s">
        <v>229</v>
      </c>
      <c r="BR27" s="104">
        <f>BR19*'Données à saisir'!$D$123</f>
        <v>3520</v>
      </c>
      <c r="BS27" s="104">
        <f>BS19*'Données à saisir'!$D$123</f>
        <v>3696</v>
      </c>
      <c r="BT27" s="104">
        <f>BT19*'Données à saisir'!$D$123</f>
        <v>3872</v>
      </c>
      <c r="BU27" s="104">
        <f>BU19*'Données à saisir'!$D$123</f>
        <v>4048</v>
      </c>
      <c r="BV27" s="120">
        <f>BV19*'Données à saisir'!$D$123</f>
        <v>4224</v>
      </c>
      <c r="BY27" s="196">
        <f>BY19*'Données à saisir'!$D$123</f>
        <v>4400</v>
      </c>
      <c r="BZ27" s="104">
        <f>BZ19*'Données à saisir'!$D$123</f>
        <v>4576</v>
      </c>
      <c r="CA27" s="104">
        <f>CA19*'Données à saisir'!$D$123</f>
        <v>3240</v>
      </c>
      <c r="CB27" s="104">
        <f>CB19*'Données à saisir'!$D$123</f>
        <v>3360</v>
      </c>
      <c r="CC27" s="104">
        <f>CC19*'Données à saisir'!$D$123</f>
        <v>5104</v>
      </c>
      <c r="CD27" s="104">
        <f>CD19*'Données à saisir'!$D$123</f>
        <v>5280</v>
      </c>
      <c r="CE27" s="132">
        <f>CE19*'Données à saisir'!$D$123</f>
        <v>6400</v>
      </c>
      <c r="CF27" s="201">
        <f t="shared" si="20"/>
        <v>51720</v>
      </c>
    </row>
    <row r="28" spans="2:84" ht="15.1" customHeight="1" thickBot="1" x14ac:dyDescent="0.3">
      <c r="B28" s="26"/>
      <c r="C28" s="335" t="str">
        <f>IF(ISBLANK('Données à saisir'!B7),"",('Données à saisir'!B7))</f>
        <v>Concept store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9823.6026103280674</v>
      </c>
      <c r="AP28" s="145">
        <f t="shared" si="5"/>
        <v>7.5975271541593711E-2</v>
      </c>
      <c r="AQ28" s="104">
        <f t="shared" ref="AQ28:AS28" si="22">AQ27+AQ22</f>
        <v>5164.7526103280661</v>
      </c>
      <c r="AR28" s="149">
        <f t="shared" si="7"/>
        <v>2.9588110396883884E-2</v>
      </c>
      <c r="AS28" s="104">
        <f t="shared" si="22"/>
        <v>8772.0676103280603</v>
      </c>
      <c r="AT28" s="151">
        <f t="shared" si="8"/>
        <v>3.8656837762521663E-2</v>
      </c>
      <c r="BF28" s="92" t="s">
        <v>258</v>
      </c>
      <c r="BI28" s="314">
        <f>Q31</f>
        <v>10500</v>
      </c>
      <c r="BJ28" s="314"/>
      <c r="BO28" s="123" t="s">
        <v>81</v>
      </c>
      <c r="BR28" s="104">
        <f>$AG$17/12</f>
        <v>3175</v>
      </c>
      <c r="BS28" s="104">
        <f t="shared" ref="BS28:CE28" si="23">$AG$17/12</f>
        <v>3175</v>
      </c>
      <c r="BT28" s="104">
        <f t="shared" si="23"/>
        <v>3175</v>
      </c>
      <c r="BU28" s="104">
        <f t="shared" si="23"/>
        <v>3175</v>
      </c>
      <c r="BV28" s="120">
        <f t="shared" si="23"/>
        <v>3175</v>
      </c>
      <c r="BY28" s="196">
        <f t="shared" si="23"/>
        <v>3175</v>
      </c>
      <c r="BZ28" s="104">
        <f t="shared" si="23"/>
        <v>3175</v>
      </c>
      <c r="CA28" s="104">
        <f t="shared" si="23"/>
        <v>3175</v>
      </c>
      <c r="CB28" s="104">
        <f t="shared" si="23"/>
        <v>3175</v>
      </c>
      <c r="CC28" s="104">
        <f t="shared" si="23"/>
        <v>3175</v>
      </c>
      <c r="CD28" s="104">
        <f t="shared" si="23"/>
        <v>3175</v>
      </c>
      <c r="CE28" s="132">
        <f t="shared" si="23"/>
        <v>3175</v>
      </c>
      <c r="CF28" s="201">
        <f t="shared" si="20"/>
        <v>38100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23000</v>
      </c>
      <c r="AH29" s="62">
        <f>IF(ISBLANK('Données à saisir'!C88),0,'Données à saisir'!C88)</f>
        <v>23300</v>
      </c>
      <c r="AI29" s="54">
        <f>IF(ISBLANK('Données à saisir'!D88),0,'Données à saisir'!D88)</f>
        <v>23500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2600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10500</v>
      </c>
      <c r="T31" s="107" t="s">
        <v>149</v>
      </c>
      <c r="U31" s="34"/>
      <c r="V31" s="34"/>
      <c r="W31" s="34"/>
      <c r="X31" s="110">
        <f>SUM(X33:X39)</f>
        <v>471.42857142857144</v>
      </c>
      <c r="Y31" s="110">
        <f>SUM(Y33:Y39)</f>
        <v>471.42857142857144</v>
      </c>
      <c r="Z31" s="111">
        <f>SUM(Z33:Z39)</f>
        <v>471.42857142857144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150300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550</v>
      </c>
      <c r="AH32" s="62">
        <f>IF(ISBLANK('Données à saisir'!C94),0,'Données à saisir'!C94)</f>
        <v>580</v>
      </c>
      <c r="AI32" s="69">
        <f>IF(ISBLANK('Données à saisir'!D94),0,'Données à saisir'!D94)</f>
        <v>610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2216.666666666667</v>
      </c>
      <c r="BS34" s="65">
        <f t="shared" ref="BS34:CE34" si="27">SUM(BS30:BS33)</f>
        <v>2216.666666666667</v>
      </c>
      <c r="BT34" s="65">
        <f t="shared" si="27"/>
        <v>2216.666666666667</v>
      </c>
      <c r="BU34" s="65">
        <f t="shared" si="27"/>
        <v>2216.666666666667</v>
      </c>
      <c r="BV34" s="66">
        <f t="shared" si="27"/>
        <v>2216.666666666667</v>
      </c>
      <c r="BY34" s="197">
        <f t="shared" si="27"/>
        <v>2216.666666666667</v>
      </c>
      <c r="BZ34" s="65">
        <f t="shared" si="27"/>
        <v>2216.666666666667</v>
      </c>
      <c r="CA34" s="65">
        <f t="shared" si="27"/>
        <v>2216.666666666667</v>
      </c>
      <c r="CB34" s="65">
        <f t="shared" si="27"/>
        <v>2216.666666666667</v>
      </c>
      <c r="CC34" s="65">
        <f t="shared" si="27"/>
        <v>2216.666666666667</v>
      </c>
      <c r="CD34" s="65">
        <f t="shared" si="27"/>
        <v>2216.666666666667</v>
      </c>
      <c r="CE34" s="131">
        <f t="shared" si="27"/>
        <v>2216.666666666667</v>
      </c>
      <c r="CF34" s="200">
        <f t="shared" si="20"/>
        <v>26600.000000000011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39480</v>
      </c>
      <c r="AH35" s="65">
        <f>AH16-AH17</f>
        <v>65913</v>
      </c>
      <c r="AI35" s="66">
        <f>AI16-AI17</f>
        <v>96322.9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178.09218106027367</v>
      </c>
      <c r="BS35" s="104">
        <f>$AG42/12</f>
        <v>178.09218106027367</v>
      </c>
      <c r="BT35" s="104">
        <f>$AG42/12</f>
        <v>178.09218106027367</v>
      </c>
      <c r="BU35" s="104">
        <f>$AG42/12</f>
        <v>178.09218106027367</v>
      </c>
      <c r="BV35" s="120">
        <f>$AG42/12</f>
        <v>178.09218106027367</v>
      </c>
      <c r="BY35" s="196">
        <f t="shared" ref="BY35:CE35" si="28">$AG42/12</f>
        <v>178.09218106027367</v>
      </c>
      <c r="BZ35" s="104">
        <f t="shared" si="28"/>
        <v>178.09218106027367</v>
      </c>
      <c r="CA35" s="104">
        <f t="shared" si="28"/>
        <v>178.09218106027367</v>
      </c>
      <c r="CB35" s="104">
        <f t="shared" si="28"/>
        <v>178.09218106027367</v>
      </c>
      <c r="CC35" s="104">
        <f t="shared" si="28"/>
        <v>178.09218106027367</v>
      </c>
      <c r="CD35" s="104">
        <f t="shared" si="28"/>
        <v>178.09218106027367</v>
      </c>
      <c r="CE35" s="132">
        <f t="shared" si="28"/>
        <v>178.09218106027367</v>
      </c>
      <c r="CF35" s="201">
        <f t="shared" si="20"/>
        <v>2137.1061727232836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6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149786.1874191555</v>
      </c>
      <c r="BS36" s="65">
        <f>SUM(BS24:BS29,BS34:BS35)</f>
        <v>10162.187419155513</v>
      </c>
      <c r="BT36" s="65">
        <f>SUM(BT24:BT29,BT34:BT35)</f>
        <v>10338.187419155513</v>
      </c>
      <c r="BU36" s="65">
        <f>SUM(BU24:BU29,BU34:BU35)</f>
        <v>10514.187419155513</v>
      </c>
      <c r="BV36" s="66">
        <f>SUM(BV24:BV29,BV34:BV35)</f>
        <v>10690.187419155514</v>
      </c>
      <c r="BY36" s="197">
        <f t="shared" ref="BY36:CE36" si="29">SUM(BY24:BY29,BY34:BY35)</f>
        <v>10866.187419155514</v>
      </c>
      <c r="BZ36" s="65">
        <f t="shared" si="29"/>
        <v>11042.187419155514</v>
      </c>
      <c r="CA36" s="65">
        <f t="shared" si="29"/>
        <v>9706.1874191555125</v>
      </c>
      <c r="CB36" s="65">
        <f t="shared" si="29"/>
        <v>9826.1874191555125</v>
      </c>
      <c r="CC36" s="65">
        <f t="shared" si="29"/>
        <v>11570.187419155514</v>
      </c>
      <c r="CD36" s="65">
        <f t="shared" si="29"/>
        <v>11746.187419155514</v>
      </c>
      <c r="CE36" s="131">
        <f t="shared" si="29"/>
        <v>12866.187419155514</v>
      </c>
      <c r="CF36" s="200">
        <f t="shared" si="20"/>
        <v>269114.24902986625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75000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0</v>
      </c>
      <c r="AH37" s="57">
        <f>'Données à saisir'!C133</f>
        <v>8700</v>
      </c>
      <c r="AI37" s="53">
        <f>'Données à saisir'!D133</f>
        <v>9000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159100</v>
      </c>
      <c r="BS37" s="65">
        <f>SUM(BS15:BS20)</f>
        <v>9240</v>
      </c>
      <c r="BT37" s="65">
        <f>SUM(BT15:BT20)</f>
        <v>9680</v>
      </c>
      <c r="BU37" s="65">
        <f>SUM(BU15:BU20)</f>
        <v>10120</v>
      </c>
      <c r="BV37" s="66">
        <f>SUM(BV15:BV20)</f>
        <v>10560</v>
      </c>
      <c r="BY37" s="197">
        <f t="shared" ref="BY37:CE37" si="30">SUM(BY15:BY20)</f>
        <v>11000</v>
      </c>
      <c r="BZ37" s="65">
        <f t="shared" si="30"/>
        <v>11440</v>
      </c>
      <c r="CA37" s="65">
        <f t="shared" si="30"/>
        <v>8100</v>
      </c>
      <c r="CB37" s="65">
        <f t="shared" si="30"/>
        <v>8400</v>
      </c>
      <c r="CC37" s="65">
        <f t="shared" si="30"/>
        <v>12760</v>
      </c>
      <c r="CD37" s="65">
        <f t="shared" si="30"/>
        <v>13200</v>
      </c>
      <c r="CE37" s="131">
        <f t="shared" si="30"/>
        <v>16000</v>
      </c>
      <c r="CF37" s="200">
        <f t="shared" ref="CF37" si="31">SUM(BR37:CE37)</f>
        <v>279600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75000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6264</v>
      </c>
      <c r="AI38" s="120">
        <f>'Données à saisir'!D139</f>
        <v>6480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4250.9589041095896</v>
      </c>
      <c r="BB38" s="177">
        <f>BB12/365*$AZ38</f>
        <v>5738.7945205479455</v>
      </c>
      <c r="BC38" s="178">
        <f>BC12/365*$AZ38</f>
        <v>7460.4328767123288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9313.8125808445038</v>
      </c>
      <c r="BT38" s="104">
        <f>BS40</f>
        <v>8391.6251616889913</v>
      </c>
      <c r="BU38" s="104">
        <f>BT40</f>
        <v>7733.4377425334787</v>
      </c>
      <c r="BV38" s="159">
        <f>BU40</f>
        <v>7339.2503233779662</v>
      </c>
      <c r="BY38" s="196">
        <f>BV40</f>
        <v>7209.0629042224518</v>
      </c>
      <c r="BZ38" s="104">
        <f t="shared" ref="BZ38:CE38" si="32">BY40</f>
        <v>7342.8754850669375</v>
      </c>
      <c r="CA38" s="104">
        <f t="shared" si="32"/>
        <v>7740.6880659114231</v>
      </c>
      <c r="CB38" s="104">
        <f t="shared" si="32"/>
        <v>6134.5006467559106</v>
      </c>
      <c r="CC38" s="104">
        <f t="shared" si="32"/>
        <v>4708.313227600398</v>
      </c>
      <c r="CD38" s="104">
        <f t="shared" si="32"/>
        <v>5898.1258084448837</v>
      </c>
      <c r="CE38" s="132">
        <f t="shared" si="32"/>
        <v>7351.9383892893693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25000</v>
      </c>
      <c r="AI39" s="53">
        <f>'Données à saisir'!D134</f>
        <v>40000</v>
      </c>
      <c r="AW39" s="166" t="s">
        <v>191</v>
      </c>
      <c r="AX39" s="165"/>
      <c r="AY39" s="64"/>
      <c r="AZ39" s="167"/>
      <c r="BA39" s="173">
        <f>BA36-BA38</f>
        <v>-4250.9589041095896</v>
      </c>
      <c r="BB39" s="174">
        <f>BB36-BB38</f>
        <v>-5738.7945205479455</v>
      </c>
      <c r="BC39" s="175">
        <f>BC36-BC38</f>
        <v>-7460.4328767123288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9313.8125808445038</v>
      </c>
      <c r="BS39" s="57">
        <f t="shared" ref="BS39:CE39" si="33">BS37-BS36</f>
        <v>-922.18741915551254</v>
      </c>
      <c r="BT39" s="57">
        <f t="shared" si="33"/>
        <v>-658.18741915551254</v>
      </c>
      <c r="BU39" s="57">
        <f t="shared" si="33"/>
        <v>-394.18741915551254</v>
      </c>
      <c r="BV39" s="68">
        <f t="shared" si="33"/>
        <v>-130.18741915551436</v>
      </c>
      <c r="BW39" s="1"/>
      <c r="BX39" s="1"/>
      <c r="BY39" s="215">
        <f t="shared" si="33"/>
        <v>133.81258084448564</v>
      </c>
      <c r="BZ39" s="57">
        <f t="shared" si="33"/>
        <v>397.81258084448564</v>
      </c>
      <c r="CA39" s="57">
        <f t="shared" si="33"/>
        <v>-1606.1874191555125</v>
      </c>
      <c r="CB39" s="57">
        <f t="shared" si="33"/>
        <v>-1426.1874191555125</v>
      </c>
      <c r="CC39" s="57">
        <f t="shared" si="33"/>
        <v>1189.8125808444856</v>
      </c>
      <c r="CD39" s="57">
        <f t="shared" si="33"/>
        <v>1453.8125808444856</v>
      </c>
      <c r="CE39" s="74">
        <f t="shared" si="33"/>
        <v>3133.8125808444856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75300</v>
      </c>
      <c r="T40" s="107" t="s">
        <v>150</v>
      </c>
      <c r="U40" s="34"/>
      <c r="V40" s="34"/>
      <c r="W40" s="34"/>
      <c r="X40" s="110">
        <f>SUM(X42:X46)</f>
        <v>4142.8571428571431</v>
      </c>
      <c r="Y40" s="110">
        <f>SUM(Y42:Y46)</f>
        <v>4142.8571428571431</v>
      </c>
      <c r="Z40" s="237">
        <f>SUM(Z42:Z46)</f>
        <v>4142.8571428571431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28000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9313.8125808445038</v>
      </c>
      <c r="BS40" s="65">
        <f>BS38+BS39</f>
        <v>8391.6251616889913</v>
      </c>
      <c r="BT40" s="65">
        <f>BT38+BT39</f>
        <v>7733.4377425334787</v>
      </c>
      <c r="BU40" s="65">
        <f>BU38+BU39</f>
        <v>7339.2503233779662</v>
      </c>
      <c r="BV40" s="66">
        <f t="shared" ref="BV40:CE40" si="34">BV38+BV39</f>
        <v>7209.0629042224518</v>
      </c>
      <c r="BY40" s="197">
        <f t="shared" si="34"/>
        <v>7342.8754850669375</v>
      </c>
      <c r="BZ40" s="65">
        <f t="shared" si="34"/>
        <v>7740.6880659114231</v>
      </c>
      <c r="CA40" s="65">
        <f t="shared" si="34"/>
        <v>6134.5006467559106</v>
      </c>
      <c r="CB40" s="65">
        <f t="shared" si="34"/>
        <v>4708.313227600398</v>
      </c>
      <c r="CC40" s="65">
        <f t="shared" si="34"/>
        <v>5898.1258084448837</v>
      </c>
      <c r="CD40" s="65">
        <f t="shared" si="34"/>
        <v>7351.9383892893693</v>
      </c>
      <c r="CE40" s="131">
        <f t="shared" si="34"/>
        <v>10485.750970133855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75300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12880</v>
      </c>
      <c r="AH41" s="65">
        <f t="shared" ref="AH41:AI41" si="35">AH35-SUM(AH36:AH40)</f>
        <v>7449</v>
      </c>
      <c r="AI41" s="66">
        <f t="shared" si="35"/>
        <v>11742.899999999994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2137.1061727232841</v>
      </c>
      <c r="AH42" s="57">
        <f>'Données à saisir'!C90+SUM('Données à saisir'!H70:H72)</f>
        <v>2187.1061727232841</v>
      </c>
      <c r="AI42" s="53">
        <f>'Données à saisir'!D90+SUM('Données à saisir'!I70:I72)</f>
        <v>2237.1061727232841</v>
      </c>
      <c r="AL42" s="63" t="s">
        <v>162</v>
      </c>
      <c r="AM42" s="64"/>
      <c r="AN42" s="64"/>
      <c r="AO42" s="131">
        <f>AO27</f>
        <v>5209.3168960423518</v>
      </c>
      <c r="AP42" s="136"/>
      <c r="AQ42" s="131">
        <f>AQ27</f>
        <v>550.4668960423511</v>
      </c>
      <c r="AR42" s="136"/>
      <c r="AS42" s="128">
        <f>AS27</f>
        <v>4157.7818960423465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4614.2857142857147</v>
      </c>
      <c r="AH43" s="57">
        <f>'Données à saisir'!D39</f>
        <v>4614.2857142857147</v>
      </c>
      <c r="AI43" s="53">
        <f>'Données à saisir'!E39</f>
        <v>4614.2857142857147</v>
      </c>
      <c r="AL43" s="122" t="s">
        <v>163</v>
      </c>
      <c r="AM43" s="1"/>
      <c r="AN43" s="1"/>
      <c r="AO43" s="132">
        <f>AO22</f>
        <v>4614.2857142857147</v>
      </c>
      <c r="AP43" s="137"/>
      <c r="AQ43" s="132">
        <f>AQ22</f>
        <v>4614.2857142857147</v>
      </c>
      <c r="AR43" s="137"/>
      <c r="AS43" s="127">
        <f>AS22</f>
        <v>4614.2857142857147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2857.1428571428573</v>
      </c>
      <c r="Y44" s="113">
        <f>'Données à saisir'!D52</f>
        <v>2857.1428571428573</v>
      </c>
      <c r="Z44" s="236">
        <f>'Données à saisir'!E52</f>
        <v>2857.1428571428573</v>
      </c>
      <c r="AC44" s="63" t="s">
        <v>131</v>
      </c>
      <c r="AD44" s="64"/>
      <c r="AE44" s="64"/>
      <c r="AF44" s="64"/>
      <c r="AG44" s="65">
        <f>AG41-AG42-AG43</f>
        <v>6128.6081129910008</v>
      </c>
      <c r="AH44" s="65">
        <f t="shared" ref="AH44:AI44" si="37">AH41-AH42-AH43</f>
        <v>647.60811299100078</v>
      </c>
      <c r="AI44" s="66">
        <f t="shared" si="37"/>
        <v>4891.508112990995</v>
      </c>
      <c r="AL44" s="63" t="s">
        <v>160</v>
      </c>
      <c r="AM44" s="64"/>
      <c r="AN44" s="64"/>
      <c r="AO44" s="131">
        <f>AO42+AO43</f>
        <v>9823.6026103280674</v>
      </c>
      <c r="AP44" s="136"/>
      <c r="AQ44" s="131">
        <f t="shared" ref="AQ44:AS44" si="38">AQ42+AQ43</f>
        <v>5164.7526103280661</v>
      </c>
      <c r="AR44" s="136"/>
      <c r="AS44" s="128">
        <f t="shared" si="38"/>
        <v>8772.0676103280603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571.42857142857144</v>
      </c>
      <c r="Y45" s="113">
        <f>'Données à saisir'!D53</f>
        <v>571.42857142857144</v>
      </c>
      <c r="Z45" s="236">
        <f>'Données à saisir'!E53</f>
        <v>571.42857142857144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919.29121694865012</v>
      </c>
      <c r="AH45" s="57">
        <f>IF(AC45="Impôt sur les sociétés",IF(AH44&lt;0,0,IF(AH44&gt;38120,38120*0.15+(AH44-38120)*25%,AH44*0.15)),"")</f>
        <v>97.141216948650111</v>
      </c>
      <c r="AI45" s="53">
        <f>+IF(AC45="Impôt sur les sociétés",IF(AI44&lt;0,0,IF(AI44&gt;38120,38120*0.15+(AI44-38120)*25%,AI44*0.15)),"")</f>
        <v>733.72621694864927</v>
      </c>
      <c r="AL45" s="123" t="s">
        <v>164</v>
      </c>
      <c r="AO45" s="132">
        <f>IF(ISERROR(SUM('Données à saisir'!J70:J72)),0,SUM('Données à saisir'!J70:J72))</f>
        <v>10757.142857142857</v>
      </c>
      <c r="AP45" s="137"/>
      <c r="AQ45" s="132">
        <f>SUM('Données à saisir'!K70:K72)</f>
        <v>10757.142857142857</v>
      </c>
      <c r="AR45" s="137"/>
      <c r="AS45" s="127">
        <f>SUM('Données à saisir'!L70:L72)</f>
        <v>10757.142857142857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-933.5402468147895</v>
      </c>
      <c r="AP46" s="138"/>
      <c r="AQ46" s="133">
        <f>AQ44-AQ45</f>
        <v>-5592.3902468147908</v>
      </c>
      <c r="AR46" s="138"/>
      <c r="AS46" s="129">
        <f>AS44-AS45</f>
        <v>-1985.0752468147966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45067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5209.3168960423509</v>
      </c>
      <c r="AH47" s="65">
        <f t="shared" ref="AH47:AI47" si="39">AH44-SUM(AH45)</f>
        <v>550.46689604235064</v>
      </c>
      <c r="AI47" s="66">
        <f t="shared" si="39"/>
        <v>4157.7818960423456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150300</v>
      </c>
      <c r="T48" s="109" t="s">
        <v>151</v>
      </c>
      <c r="U48" s="108"/>
      <c r="V48" s="108"/>
      <c r="W48" s="108"/>
      <c r="X48" s="112">
        <f>SUM(X31,X40)</f>
        <v>4614.2857142857147</v>
      </c>
      <c r="Y48" s="112">
        <f>SUM(Y31,Y40)</f>
        <v>4614.2857142857147</v>
      </c>
      <c r="Z48" s="118">
        <f>SUM(Z31,Z40)</f>
        <v>4614.2857142857147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32728.608112991002</v>
      </c>
      <c r="AH52" s="90">
        <f>AH35-SUM(AH36:AH38,AH42:AH43)</f>
        <v>43147.608112991002</v>
      </c>
      <c r="AI52" s="90">
        <f>AI35-SUM(AI36:AI38,AI42:AI43)</f>
        <v>72891.508112990996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2023-05-21T16:46:53Z</dcterms:modified>
</cp:coreProperties>
</file>