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7FB9AA28-5781-4D7E-8D85-73DD0185DE6D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B61" i="1" l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BT37" i="2" l="1"/>
  <c r="C67" i="1"/>
  <c r="X33" i="2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H70" i="1"/>
  <c r="AH42" i="2" s="1"/>
  <c r="AQ24" i="2" s="1"/>
  <c r="AQ25" i="2" s="1"/>
  <c r="C70" i="1"/>
  <c r="AS45" i="2"/>
  <c r="BL17" i="2" s="1"/>
  <c r="CF15" i="2"/>
  <c r="C39" i="1"/>
  <c r="E54" i="1" l="1"/>
  <c r="Z46" i="2" s="1"/>
  <c r="E53" i="1"/>
  <c r="Z45" i="2" s="1"/>
  <c r="E42" i="1"/>
  <c r="F42" i="1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K73" i="1"/>
  <c r="Y40" i="2"/>
  <c r="B147" i="1"/>
  <c r="L47" i="1"/>
  <c r="M47" i="1" s="1"/>
  <c r="BJ14" i="2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AI12" i="2"/>
  <c r="CF21" i="2"/>
  <c r="CF27" i="2"/>
  <c r="CA31" i="2"/>
  <c r="G40" i="1"/>
  <c r="BY31" i="2"/>
  <c r="BZ31" i="2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Z34" i="2"/>
  <c r="G42" i="1"/>
  <c r="H42" i="1" s="1"/>
  <c r="F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P18" i="2" s="1"/>
  <c r="AQ15" i="2"/>
  <c r="BB12" i="2" s="1"/>
  <c r="BB13" i="2" s="1"/>
  <c r="AH16" i="2"/>
  <c r="AH35" i="2" s="1"/>
  <c r="AH52" i="2" s="1"/>
  <c r="BB11" i="2"/>
  <c r="BB36" i="2" s="1"/>
  <c r="G53" i="1"/>
  <c r="H53" i="1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G52" i="1"/>
  <c r="H52" i="1" s="1"/>
  <c r="K42" i="1"/>
  <c r="L42" i="1" s="1"/>
  <c r="AR17" i="2"/>
  <c r="AR19" i="2"/>
  <c r="AR24" i="2"/>
  <c r="AR25" i="2"/>
  <c r="BB38" i="2"/>
  <c r="BA13" i="2"/>
  <c r="BA14" i="2" s="1"/>
  <c r="BA15" i="2" s="1"/>
  <c r="BA38" i="2"/>
  <c r="BA39" i="2" s="1"/>
  <c r="BJ16" i="2" s="1"/>
  <c r="BJ18" i="2" s="1"/>
  <c r="BC12" i="2"/>
  <c r="AS43" i="2"/>
  <c r="AO43" i="2"/>
  <c r="AP22" i="2"/>
  <c r="H39" i="1"/>
  <c r="K44" i="1"/>
  <c r="L44" i="1" s="1"/>
  <c r="AQ22" i="2"/>
  <c r="BB39" i="2" l="1"/>
  <c r="BK16" i="2" s="1"/>
  <c r="BK18" i="2" s="1"/>
  <c r="AQ16" i="2"/>
  <c r="AQ18" i="2" s="1"/>
  <c r="AR15" i="2"/>
  <c r="BB14" i="2"/>
  <c r="BB15" i="2" s="1"/>
  <c r="I53" i="1"/>
  <c r="J53" i="1"/>
  <c r="K53" i="1" s="1"/>
  <c r="AH41" i="2"/>
  <c r="AH44" i="2" s="1"/>
  <c r="AH45" i="2" s="1"/>
  <c r="Y17" i="2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H48" i="1"/>
  <c r="H50" i="1"/>
  <c r="H51" i="1"/>
  <c r="I51" i="1"/>
  <c r="I52" i="1"/>
  <c r="J52" i="1" s="1"/>
  <c r="K52" i="1" s="1"/>
  <c r="L52" i="1" s="1"/>
  <c r="H49" i="1"/>
  <c r="BC38" i="2"/>
  <c r="BC39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L16" i="2" l="1"/>
  <c r="BL18" i="2" s="1"/>
  <c r="AR16" i="2"/>
  <c r="L53" i="1"/>
  <c r="M53" i="1" s="1"/>
  <c r="AH47" i="2"/>
  <c r="BB18" i="2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<sst xmlns="http://schemas.openxmlformats.org/spreadsheetml/2006/main" count="454" uniqueCount="305">
  <si>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</si>
  <si>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</si>
  <si>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</si>
  <si>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</si>
  <si>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</si>
  <si>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</si>
  <si>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</si>
  <si>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</si>
  <si>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</si>
  <si>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</si>
  <si>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</si>
  <si>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</si>
  <si>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</si>
  <si>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</si>
  <si>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</si>
  <si>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</si>
  <si>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</si>
  <si>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</si>
  <si>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</si>
  <si>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</si>
  <si>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</si>
  <si>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</si>
  <si>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</si>
  <si>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</si>
  <si>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</si>
  <si>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</si>
  <si>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</si>
  <si>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</si>
  <si>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</si>
  <si>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</si>
  <si>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</si>
  <si>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</si>
  <si>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</si>
  <si>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</si>
  <si>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</si>
  <si>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</si>
  <si>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</si>
  <si>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</si>
  <si>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</si>
  <si>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</si>
  <si>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</si>
  <si>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</si>
  <si>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</si>
  <si>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</si>
  <si>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</si>
  <si>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</si>
  <si>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</si>
  <si>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</si>
  <si>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</si>
  <si>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</si>
  <si>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</si>
  <si>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</si>
  <si>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</si>
  <si>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</si>
  <si>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</si>
  <si>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</si>
  <si>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</si>
  <si>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</si>
  <si>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</si>
  <si>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</si>
  <si>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</si>
  <si>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</si>
  <si>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</si>
  <si>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</si>
  <si>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</si>
  <si>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</si>
  <si>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</si>
  <si>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</si>
  <si>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</si>
  <si>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</si>
  <si>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</si>
  <si>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</si>
  <si>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</si>
  <si>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</si>
  <si>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</si>
  <si>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</si>
  <si>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</si>
  <si>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</si>
  <si>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</si>
  <si>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</si>
  <si>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</si>
  <si>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</si>
  <si>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</si>
  <si>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</si>
  <si>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</si>
  <si>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</si>
  <si>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</si>
  <si>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</si>
  <si>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</si>
  <si>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</si>
  <si>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</si>
  <si>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</si>
  <si>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</si>
  <si>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</si>
  <si>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</si>
  <si>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</si>
  <si>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</si>
  <si>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</si>
  <si>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</si>
  <si>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</si>
  <si>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</si>
  <si>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</si>
  <si>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</si>
  <si>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</si>
  <si>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</si>
  <si>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</si>
  <si>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</si>
  <si>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</si>
  <si>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</si>
  <si>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</si>
  <si>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</si>
  <si>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</si>
  <si>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</si>
  <si>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</si>
  <si>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</si>
  <si>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</si>
  <si>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</si>
  <si>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</si>
  <si>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</si>
  <si>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</si>
  <si>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</si>
  <si>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</si>
  <si>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</si>
  <si>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</si>
  <si>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</si>
  <si>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</si>
  <si>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</si>
  <si>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</si>
  <si>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</si>
  <si>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</si>
  <si>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</si>
  <si>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</si>
  <si>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</si>
  <si>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</si>
  <si>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</si>
  <si>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</si>
  <si>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</si>
  <si>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</si>
  <si>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</si>
  <si>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</si>
  <si>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</si>
  <si>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</si>
  <si>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</si>
  <si>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</si>
  <si>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</si>
  <si>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</si>
  <si>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</si>
  <si>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</si>
  <si>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</si>
  <si>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</si>
  <si>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</si>
  <si>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</si>
  <si>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</si>
  <si>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</si>
  <si>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</si>
  <si>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</si>
  <si>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</si>
  <si>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</si>
  <si>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</si>
  <si>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</si>
  <si>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</si>
  <si>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</si>
  <si>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</si>
  <si>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</si>
  <si>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</si>
  <si>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</si>
  <si>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</si>
  <si>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</si>
  <si>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</si>
  <si>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</si>
  <si>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</si>
  <si>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</si>
  <si>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</si>
  <si>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</si>
  <si>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</si>
  <si>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</si>
  <si>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</si>
  <si>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</si>
  <si>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</si>
  <si>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</si>
  <si>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</si>
  <si>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</si>
  <si>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</si>
  <si>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</si>
  <si>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</si>
  <si>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</si>
  <si>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</si>
  <si>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</si>
  <si>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</si>
  <si>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</si>
  <si>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</si>
  <si>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</si>
  <si>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</si>
  <si>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</si>
  <si>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</si>
  <si>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</si>
  <si>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</si>
  <si>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</si>
  <si>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</si>
  <si>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</si>
  <si>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</si>
  <si>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</si>
  <si>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</si>
  <si>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</si>
  <si>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</si>
  <si>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</si>
  <si>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</si>
  <si>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</si>
  <si>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</si>
  <si>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</si>
  <si>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</si>
  <si>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</si>
  <si>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</si>
  <si>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</si>
  <si>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</si>
  <si>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</si>
  <si>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</si>
  <si>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</si>
  <si>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</si>
  <si>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</si>
  <si>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</si>
  <si>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</si>
  <si>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</si>
  <si>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</si>
  <si>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</si>
  <si>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</si>
  <si>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</si>
  <si>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</si>
  <si>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</si>
  <si>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</si>
  <si>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</si>
  <si>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</si>
  <si>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</si>
  <si>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</si>
  <si>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</si>
  <si>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</si>
  <si>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</si>
  <si>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</si>
  <si>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</si>
  <si>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</si>
  <si>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</si>
  <si>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</si>
  <si>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</si>
  <si>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</si>
  <si>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</si>
  <si>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</si>
  <si>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</si>
  <si>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</si>
  <si>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</si>
  <si>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</si>
  <si>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</si>
  <si>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</si>
  <si>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</si>
  <si>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</si>
  <si>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</si>
  <si>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</si>
  <si>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</si>
  <si>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</si>
  <si>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</si>
  <si>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</si>
  <si>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</si>
  <si>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</si>
  <si>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</si>
  <si>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</si>
  <si>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</si>
  <si>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</si>
  <si>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</si>
  <si>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</si>
  <si>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</si>
  <si>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</si>
  <si>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</si>
  <si>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</si>
  <si>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</si>
  <si>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</si>
  <si>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</si>
  <si>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</si>
  <si>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</si>
  <si>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</si>
  <si>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</si>
  <si>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</si>
  <si>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</si>
  <si>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</si>
  <si>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</si>
  <si>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</si>
  <si>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</si>
  <si>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</si>
  <si>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</si>
  <si>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</si>
  <si>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</si>
  <si>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</si>
  <si>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</si>
  <si>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</si>
  <si>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</si>
  <si>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</si>
  <si>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</si>
  <si>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</si>
  <si>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</si>
  <si>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</si>
  <si>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</si>
  <si>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</si>
  <si>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</si>
  <si>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Sacem</t>
  </si>
  <si>
    <t>Droits de terrasse</t>
  </si>
  <si>
    <t>Boutique de thé</t>
  </si>
  <si>
    <t>Royalties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</si>
</sst>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303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600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/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1500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>
        <v>12000</v>
      </c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80000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2500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500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700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18000</v>
      </c>
      <c r="C29" s="5" t="s">
        <v>12</v>
      </c>
    </row>
    <row r="30" spans="1:8" x14ac:dyDescent="0.25">
      <c r="A30" s="276" t="s">
        <v>39</v>
      </c>
      <c r="B30" s="255">
        <v>4000</v>
      </c>
      <c r="C30" s="5" t="s">
        <v>13</v>
      </c>
    </row>
    <row r="31" spans="1:8" x14ac:dyDescent="0.25">
      <c r="A31" s="276" t="s">
        <v>14</v>
      </c>
      <c r="B31" s="255">
        <v>1500</v>
      </c>
      <c r="C31" s="5" t="s">
        <v>15</v>
      </c>
    </row>
    <row r="32" spans="1:8" x14ac:dyDescent="0.25">
      <c r="A32" s="276" t="s">
        <v>16</v>
      </c>
      <c r="B32" s="255">
        <v>15000</v>
      </c>
      <c r="C32" s="5" t="s">
        <v>17</v>
      </c>
    </row>
    <row r="33" spans="1:13" ht="15.25" thickBot="1" x14ac:dyDescent="0.3">
      <c r="A33" s="276" t="s">
        <v>40</v>
      </c>
      <c r="B33" s="255">
        <v>10500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150300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7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42300</v>
      </c>
      <c r="C39" s="116">
        <f t="shared" ref="C39:C54" si="0">IF(ISERROR($B39/$C$36),0,$B39/$C$36)</f>
        <v>6042.8571428571431</v>
      </c>
      <c r="D39" s="116">
        <f>IF($B39&gt;(SUM(C39:$C39)),IF(ISERROR($B39/$C$36),"",$B39/$C$36),0)</f>
        <v>6042.8571428571431</v>
      </c>
      <c r="E39" s="116">
        <f>IF($B39&gt;(SUM($C39:D39)),IF(ISERROR($B39/$C$36),"",$B39/$C$36),0)</f>
        <v>6042.8571428571431</v>
      </c>
      <c r="F39" s="116">
        <f>IF($B39&gt;(SUM($C39:E39)),IF(ISERROR($B39/$C$36),"",$B39/$C$36),0)</f>
        <v>6042.8571428571431</v>
      </c>
      <c r="G39" s="116">
        <f>IF($B39&gt;(SUM($C39:F39)),IF(ISERROR($B39/$C$36),"",$B39/$C$36),0)</f>
        <v>6042.8571428571431</v>
      </c>
      <c r="H39" s="116">
        <f>IF($B39&gt;(SUM($C39:G39)),IF(ISERROR($B39/$C$36),"",$B39/$C$36),0)</f>
        <v>6042.8571428571431</v>
      </c>
      <c r="I39" s="116">
        <f>IF($B39&gt;(SUM($C39:H39)),IF(ISERROR($B39/$C$36),"",$B39/$C$36),0)</f>
        <v>6042.8571428571431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42300.000000000007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600</v>
      </c>
      <c r="C40" s="75">
        <f t="shared" si="0"/>
        <v>85.714285714285708</v>
      </c>
      <c r="D40" s="75">
        <f>IF($B40&gt;(SUM(C40:$C40)),IF(ISERROR($B40/$C$36),"",$B40/$C$36),0)</f>
        <v>85.714285714285708</v>
      </c>
      <c r="E40" s="75">
        <f>IF($B40&gt;(SUM($C40:D40)),IF(ISERROR($B40/$C$36),"",$B40/$C$36),0)</f>
        <v>85.714285714285708</v>
      </c>
      <c r="F40" s="75">
        <f>IF($B40&gt;(SUM($C40:E40)),IF(ISERROR($B40/$C$36),"",$B40/$C$36),0)</f>
        <v>85.714285714285708</v>
      </c>
      <c r="G40" s="75">
        <f>IF($B40&gt;(SUM($C40:F40)),IF(ISERROR($B40/$C$36),"",$B40/$C$36),0)</f>
        <v>85.714285714285708</v>
      </c>
      <c r="H40" s="75">
        <f>IF($B40&gt;(SUM($C40:G40)),IF(ISERROR($B40/$C$36),"",$B40/$C$36),0)</f>
        <v>85.714285714285708</v>
      </c>
      <c r="I40" s="75">
        <f>IF($B40&gt;(SUM($C40:H40)),IF(ISERROR($B40/$C$36),"",$B40/$C$36),0)</f>
        <v>85.714285714285708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599.99999999999989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1500</v>
      </c>
      <c r="C42" s="75">
        <f t="shared" si="0"/>
        <v>214.28571428571428</v>
      </c>
      <c r="D42" s="75">
        <f>IF($B42&gt;(SUM(C42:$C42)),IF(ISERROR($B42/$C$36),"",$B42/$C$36),0)</f>
        <v>214.28571428571428</v>
      </c>
      <c r="E42" s="75">
        <f>IF($B42&gt;(SUM($C42:D42)),IF(ISERROR($B42/$C$36),"",$B42/$C$36),0)</f>
        <v>214.28571428571428</v>
      </c>
      <c r="F42" s="75">
        <f>IF($B42&gt;(SUM($C42:E42)),IF(ISERROR($B42/$C$36),"",$B42/$C$36),0)</f>
        <v>214.28571428571428</v>
      </c>
      <c r="G42" s="75">
        <f>IF($B42&gt;(SUM($C42:F42)),IF(ISERROR($B42/$C$36),"",$B42/$C$36),0)</f>
        <v>214.28571428571428</v>
      </c>
      <c r="H42" s="75">
        <f>IF($B42&gt;(SUM($C42:G42)),IF(ISERROR($B42/$C$36),"",$B42/$C$36),0)</f>
        <v>214.28571428571428</v>
      </c>
      <c r="I42" s="75">
        <f>IF($B42&gt;(SUM($C42:H42)),IF(ISERROR($B42/$C$36),"",$B42/$C$36),0)</f>
        <v>214.28571428571428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1499.9999999999998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12000</v>
      </c>
      <c r="C44" s="75">
        <f t="shared" si="0"/>
        <v>1714.2857142857142</v>
      </c>
      <c r="D44" s="75">
        <f>IF($B44&gt;(SUM(C44:$C44)),IF(ISERROR($B44/$C$36),"",$B44/$C$36),0)</f>
        <v>1714.2857142857142</v>
      </c>
      <c r="E44" s="75">
        <f>IF($B44&gt;(SUM($C44:D44)),IF(ISERROR($B44/$C$36),"",$B44/$C$36),0)</f>
        <v>1714.2857142857142</v>
      </c>
      <c r="F44" s="75">
        <f>IF($B44&gt;(SUM($C44:E44)),IF(ISERROR($B44/$C$36),"",$B44/$C$36),0)</f>
        <v>1714.2857142857142</v>
      </c>
      <c r="G44" s="75">
        <f>IF($B44&gt;(SUM($C44:F44)),IF(ISERROR($B44/$C$36),"",$B44/$C$36),0)</f>
        <v>1714.2857142857142</v>
      </c>
      <c r="H44" s="75">
        <f>IF($B44&gt;(SUM($C44:G44)),IF(ISERROR($B44/$C$36),"",$B44/$C$36),0)</f>
        <v>1714.2857142857142</v>
      </c>
      <c r="I44" s="75">
        <f>IF($B44&gt;(SUM($C44:H44)),IF(ISERROR($B44/$C$36),"",$B44/$C$36),0)</f>
        <v>1714.2857142857142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11999.999999999998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500</v>
      </c>
      <c r="C48" s="75">
        <f t="shared" si="0"/>
        <v>71.428571428571431</v>
      </c>
      <c r="D48" s="75">
        <f>IF($B48&gt;(SUM(C48:$C48)),IF(ISERROR($B48/$C$36),"",$B48/$C$36),0)</f>
        <v>71.428571428571431</v>
      </c>
      <c r="E48" s="75">
        <f>IF($B48&gt;(SUM($C48:D48)),IF(ISERROR($B48/$C$36),"",$B48/$C$36),0)</f>
        <v>71.428571428571431</v>
      </c>
      <c r="F48" s="75">
        <f>IF($B48&gt;(SUM($C48:E48)),IF(ISERROR($B48/$C$36),"",$B48/$C$36),0)</f>
        <v>71.428571428571431</v>
      </c>
      <c r="G48" s="75">
        <f>IF($B48&gt;(SUM($C48:F48)),IF(ISERROR($B48/$C$36),"",$B48/$C$36),0)</f>
        <v>71.428571428571431</v>
      </c>
      <c r="H48" s="75">
        <f>IF($B48&gt;(SUM($C48:G48)),IF(ISERROR($B48/$C$36),"",$B48/$C$36),0)</f>
        <v>71.428571428571431</v>
      </c>
      <c r="I48" s="75">
        <f>IF($B48&gt;(SUM($C48:H48)),IF(ISERROR($B48/$C$36),"",$B48/$C$36),0)</f>
        <v>71.428571428571431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500.00000000000006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700</v>
      </c>
      <c r="C49" s="75">
        <f t="shared" si="0"/>
        <v>100</v>
      </c>
      <c r="D49" s="75">
        <f>IF($B49&gt;(SUM(C49:$C49)),IF(ISERROR($B49/$C$36),"",$B49/$C$36),0)</f>
        <v>100</v>
      </c>
      <c r="E49" s="75">
        <f>IF($B49&gt;(SUM($C49:D49)),IF(ISERROR($B49/$C$36),"",$B49/$C$36),0)</f>
        <v>100</v>
      </c>
      <c r="F49" s="75">
        <f>IF($B49&gt;(SUM($C49:E49)),IF(ISERROR($B49/$C$36),"",$B49/$C$36),0)</f>
        <v>100</v>
      </c>
      <c r="G49" s="75">
        <f>IF($B49&gt;(SUM($C49:F49)),IF(ISERROR($B49/$C$36),"",$B49/$C$36),0)</f>
        <v>100</v>
      </c>
      <c r="H49" s="75">
        <f>IF($B49&gt;(SUM($C49:G49)),IF(ISERROR($B49/$C$36),"",$B49/$C$36),0)</f>
        <v>100</v>
      </c>
      <c r="I49" s="75">
        <f>IF($B49&gt;(SUM($C49:H49)),IF(ISERROR($B49/$C$36),"",$B49/$C$36),0)</f>
        <v>100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700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500</v>
      </c>
      <c r="D50" s="75">
        <f>IF($B50&gt;(SUM(C50:$C50)),IF(ISERROR($B50/$C$36),"",$B50/$C$36),0)</f>
        <v>500</v>
      </c>
      <c r="E50" s="75">
        <f>IF($B50&gt;(SUM($C50:D50)),IF(ISERROR($B50/$C$36),"",$B50/$C$36),0)</f>
        <v>500</v>
      </c>
      <c r="F50" s="75">
        <f>IF($B50&gt;(SUM($C50:E50)),IF(ISERROR($B50/$C$36),"",$B50/$C$36),0)</f>
        <v>500</v>
      </c>
      <c r="G50" s="75">
        <f>IF($B50&gt;(SUM($C50:F50)),IF(ISERROR($B50/$C$36),"",$B50/$C$36),0)</f>
        <v>500</v>
      </c>
      <c r="H50" s="75">
        <f>IF($B50&gt;(SUM($C50:G50)),IF(ISERROR($B50/$C$36),"",$B50/$C$36),0)</f>
        <v>500</v>
      </c>
      <c r="I50" s="75">
        <f>IF($B50&gt;(SUM($C50:H50)),IF(ISERROR($B50/$C$36),"",$B50/$C$36),0)</f>
        <v>500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18000</v>
      </c>
      <c r="C52" s="75">
        <f t="shared" si="0"/>
        <v>2571.4285714285716</v>
      </c>
      <c r="D52" s="75">
        <f>IF($B52&gt;(SUM(C52:$C52)),IF(ISERROR($B52/$C$36),"",$B52/$C$36),0)</f>
        <v>2571.4285714285716</v>
      </c>
      <c r="E52" s="75">
        <f>IF($B52&gt;(SUM($C52:D52)),IF(ISERROR($B52/$C$36),"",$B52/$C$36),0)</f>
        <v>2571.4285714285716</v>
      </c>
      <c r="F52" s="75">
        <f>IF($B52&gt;(SUM($C52:E52)),IF(ISERROR($B52/$C$36),"",$B52/$C$36),0)</f>
        <v>2571.4285714285716</v>
      </c>
      <c r="G52" s="75">
        <f>IF($B52&gt;(SUM($C52:F52)),IF(ISERROR($B52/$C$36),"",$B52/$C$36),0)</f>
        <v>2571.4285714285716</v>
      </c>
      <c r="H52" s="75">
        <f>IF($B52&gt;(SUM($C52:G52)),IF(ISERROR($B52/$C$36),"",$B52/$C$36),0)</f>
        <v>2571.4285714285716</v>
      </c>
      <c r="I52" s="75">
        <f>IF($B52&gt;(SUM($C52:H52)),IF(ISERROR($B52/$C$36),"",$B52/$C$36),0)</f>
        <v>2571.4285714285716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18000.000000000004</v>
      </c>
    </row>
    <row r="53" spans="1:13" ht="15.1" hidden="1" x14ac:dyDescent="0.25">
      <c r="A53" t="str">
        <f t="shared" ref="A53" si="10">A30</f>
        <v>Matériel</v>
      </c>
      <c r="B53" s="114">
        <f t="shared" si="1"/>
        <v>4000</v>
      </c>
      <c r="C53" s="75">
        <f t="shared" si="0"/>
        <v>571.42857142857144</v>
      </c>
      <c r="D53" s="75">
        <f>IF($B53&gt;(SUM(C53:$C53)),IF(ISERROR($B53/$C$36),"",$B53/$C$36),0)</f>
        <v>571.42857142857144</v>
      </c>
      <c r="E53" s="75">
        <f>IF($B53&gt;(SUM($C53:D53)),IF(ISERROR($B53/$C$36),"",$B53/$C$36),0)</f>
        <v>571.42857142857144</v>
      </c>
      <c r="F53" s="75">
        <f>IF($B53&gt;(SUM($C53:E53)),IF(ISERROR($B53/$C$36),"",$B53/$C$36),0)</f>
        <v>571.42857142857144</v>
      </c>
      <c r="G53" s="75">
        <f>IF($B53&gt;(SUM($C53:F53)),IF(ISERROR($B53/$C$36),"",$B53/$C$36),0)</f>
        <v>571.42857142857144</v>
      </c>
      <c r="H53" s="75">
        <f>IF($B53&gt;(SUM($C53:G53)),IF(ISERROR($B53/$C$36),"",$B53/$C$36),0)</f>
        <v>571.42857142857144</v>
      </c>
      <c r="I53" s="75">
        <f>IF($B53&gt;(SUM($C53:H53)),IF(ISERROR($B53/$C$36),"",$B53/$C$36),0)</f>
        <v>571.42857142857144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4000.0000000000005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1500</v>
      </c>
      <c r="C54" s="75">
        <f t="shared" si="0"/>
        <v>214.28571428571428</v>
      </c>
      <c r="D54" s="75">
        <f>IF($B54&gt;(SUM(C54:$C54)),IF(ISERROR($B54/$C$36),"",$B54/$C$36),0)</f>
        <v>214.28571428571428</v>
      </c>
      <c r="E54" s="75">
        <f>IF($B54&gt;(SUM($C54:D54)),IF(ISERROR($B54/$C$36),"",$B54/$C$36),0)</f>
        <v>214.28571428571428</v>
      </c>
      <c r="F54" s="75">
        <f>IF($B54&gt;(SUM($C54:E54)),IF(ISERROR($B54/$C$36),"",$B54/$C$36),0)</f>
        <v>214.28571428571428</v>
      </c>
      <c r="G54" s="75">
        <f>IF($B54&gt;(SUM($C54:F54)),IF(ISERROR($B54/$C$36),"",$B54/$C$36),0)</f>
        <v>214.28571428571428</v>
      </c>
      <c r="H54" s="75">
        <f>IF($B54&gt;(SUM($C54:G54)),IF(ISERROR($B54/$C$36),"",$B54/$C$36),0)</f>
        <v>214.28571428571428</v>
      </c>
      <c r="I54" s="75">
        <f>IF($B54&gt;(SUM($C54:H54)),IF(ISERROR($B54/$C$36),"",$B54/$C$36),0)</f>
        <v>214.28571428571428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1499.9999999999998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75000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f>B34-B59</f>
        <v>75300</v>
      </c>
      <c r="C61" s="257">
        <v>0.03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150300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994.96149492927157</v>
      </c>
      <c r="C70" s="79">
        <f>B70*D61</f>
        <v>83576.765574058809</v>
      </c>
      <c r="D70" s="82">
        <f>IF(ISERROR(B61/D61),0,B61/D61)</f>
        <v>896.42857142857144</v>
      </c>
      <c r="E70" s="152">
        <f>B70-D70</f>
        <v>98.532923500700122</v>
      </c>
      <c r="F70" s="80">
        <f>E70*D61</f>
        <v>8276.7655740588107</v>
      </c>
      <c r="G70" s="153">
        <f>IF($D61&gt;12,$E70*12,$E70*$D61)</f>
        <v>1182.3950820084015</v>
      </c>
      <c r="H70" s="153">
        <f>IF($D61-12&lt;0,0,IF($D61&gt;24,$E70*12,($D61-12)*$E70))</f>
        <v>1182.3950820084015</v>
      </c>
      <c r="I70" s="153">
        <f>IF($D61-24&lt;0,0,IF($D61&gt;36,$E70*12,($D61-24)*$E70))</f>
        <v>1182.3950820084015</v>
      </c>
      <c r="J70" s="153">
        <f>IF($D61&gt;12,$D70*12,$D70*$D61)</f>
        <v>10757.142857142857</v>
      </c>
      <c r="K70" s="153">
        <f>IF($D61-12&lt;0,0,IF($D61&gt;24,$D70*12,($D61-12)*$D70))</f>
        <v>10757.142857142857</v>
      </c>
      <c r="L70" s="153">
        <f>IF($D61-24&lt;0,0,IF($D61&gt;36,$D70*12,($D61-24)*$D70))</f>
        <v>10757.142857142857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1182.3950820084015</v>
      </c>
      <c r="J73" s="203">
        <f t="shared" si="17"/>
        <v>10757.142857142857</v>
      </c>
      <c r="K73" s="203">
        <f t="shared" si="17"/>
        <v>10757.142857142857</v>
      </c>
      <c r="L73" s="203">
        <f t="shared" si="17"/>
        <v>10757.142857142857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700</v>
      </c>
      <c r="C77" s="260">
        <v>720</v>
      </c>
      <c r="D77" s="261">
        <v>730</v>
      </c>
    </row>
    <row r="78" spans="1:12" ht="15.1" customHeight="1" x14ac:dyDescent="0.25">
      <c r="A78" s="276" t="s">
        <v>21</v>
      </c>
      <c r="B78" s="259">
        <v>900</v>
      </c>
      <c r="C78" s="260">
        <v>950</v>
      </c>
      <c r="D78" s="261">
        <v>1000</v>
      </c>
      <c r="G78" s="233"/>
      <c r="H78" s="233"/>
    </row>
    <row r="79" spans="1:12" ht="15.1" customHeight="1" x14ac:dyDescent="0.25">
      <c r="A79" s="276" t="s">
        <v>44</v>
      </c>
      <c r="B79" s="259">
        <v>200</v>
      </c>
      <c r="C79" s="260">
        <v>250</v>
      </c>
      <c r="D79" s="261">
        <v>300</v>
      </c>
      <c r="G79" s="233"/>
      <c r="H79" s="233"/>
    </row>
    <row r="80" spans="1:12" ht="15.1" customHeight="1" x14ac:dyDescent="0.25">
      <c r="A80" s="276" t="s">
        <v>263</v>
      </c>
      <c r="B80" s="259">
        <v>1500</v>
      </c>
      <c r="C80" s="260">
        <v>1700</v>
      </c>
      <c r="D80" s="261">
        <v>1900</v>
      </c>
      <c r="G80" s="233"/>
      <c r="H80" s="233"/>
    </row>
    <row r="81" spans="1:8" ht="15.1" customHeight="1" x14ac:dyDescent="0.25">
      <c r="A81" s="276" t="s">
        <v>22</v>
      </c>
      <c r="B81" s="259"/>
      <c r="C81" s="260"/>
      <c r="D81" s="261"/>
      <c r="G81" s="233"/>
      <c r="H81" s="233"/>
    </row>
    <row r="82" spans="1:8" ht="15.1" customHeight="1" x14ac:dyDescent="0.25">
      <c r="A82" s="276" t="s">
        <v>5</v>
      </c>
      <c r="B82" s="259">
        <v>2800</v>
      </c>
      <c r="C82" s="260">
        <v>3000</v>
      </c>
      <c r="D82" s="261">
        <v>3200</v>
      </c>
      <c r="G82" s="233"/>
      <c r="H82" s="233"/>
    </row>
    <row r="83" spans="1:8" ht="15.1" customHeight="1" x14ac:dyDescent="0.25">
      <c r="A83" s="276" t="s">
        <v>25</v>
      </c>
      <c r="B83" s="259">
        <v>650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950</v>
      </c>
      <c r="C84" s="260">
        <v>1000</v>
      </c>
      <c r="D84" s="261">
        <v>1100</v>
      </c>
      <c r="E84" s="5"/>
      <c r="G84" s="233"/>
      <c r="H84" s="233"/>
    </row>
    <row r="85" spans="1:8" ht="15.1" customHeight="1" x14ac:dyDescent="0.25">
      <c r="A85" s="276" t="s">
        <v>27</v>
      </c>
      <c r="B85" s="259"/>
      <c r="C85" s="260"/>
      <c r="D85" s="261"/>
      <c r="E85" s="5"/>
      <c r="G85" s="233"/>
      <c r="H85" s="233"/>
    </row>
    <row r="86" spans="1:8" ht="15.1" customHeight="1" x14ac:dyDescent="0.25">
      <c r="A86" s="276" t="s">
        <v>28</v>
      </c>
      <c r="B86" s="259">
        <v>450</v>
      </c>
      <c r="C86" s="260">
        <v>500</v>
      </c>
      <c r="D86" s="261">
        <v>550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3500</v>
      </c>
      <c r="C87" s="260">
        <v>3000</v>
      </c>
      <c r="D87" s="261">
        <v>3000</v>
      </c>
      <c r="E87" s="5"/>
      <c r="G87" s="233"/>
      <c r="H87" s="233"/>
    </row>
    <row r="88" spans="1:8" x14ac:dyDescent="0.25">
      <c r="A88" s="276" t="s">
        <v>29</v>
      </c>
      <c r="B88" s="259">
        <v>23000</v>
      </c>
      <c r="C88" s="260">
        <v>23300</v>
      </c>
      <c r="D88" s="261">
        <v>23500</v>
      </c>
      <c r="E88" s="5"/>
    </row>
    <row r="89" spans="1:8" x14ac:dyDescent="0.25">
      <c r="A89" s="276" t="s">
        <v>30</v>
      </c>
      <c r="B89" s="259">
        <v>2600</v>
      </c>
      <c r="C89" s="260">
        <v>2800</v>
      </c>
      <c r="D89" s="261">
        <v>2900</v>
      </c>
      <c r="E89" s="5"/>
    </row>
    <row r="90" spans="1:8" x14ac:dyDescent="0.25">
      <c r="A90" s="276" t="s">
        <v>31</v>
      </c>
      <c r="B90" s="259">
        <v>750</v>
      </c>
      <c r="C90" s="260">
        <v>800</v>
      </c>
      <c r="D90" s="261">
        <v>850</v>
      </c>
      <c r="E90" s="5"/>
    </row>
    <row r="91" spans="1:8" x14ac:dyDescent="0.25">
      <c r="A91" s="276" t="s">
        <v>45</v>
      </c>
      <c r="B91" s="259"/>
      <c r="C91" s="260">
        <v>1000</v>
      </c>
      <c r="D91" s="261">
        <v>1100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301</v>
      </c>
      <c r="B93" s="259">
        <v>300</v>
      </c>
      <c r="C93" s="260">
        <v>300</v>
      </c>
      <c r="D93" s="261">
        <v>300</v>
      </c>
      <c r="E93" s="89" t="s">
        <v>288</v>
      </c>
    </row>
    <row r="94" spans="1:8" x14ac:dyDescent="0.25">
      <c r="A94" s="278" t="s">
        <v>302</v>
      </c>
      <c r="B94" s="259">
        <v>550</v>
      </c>
      <c r="C94" s="260">
        <v>580</v>
      </c>
      <c r="D94" s="261">
        <v>610</v>
      </c>
      <c r="E94" s="89" t="s">
        <v>288</v>
      </c>
    </row>
    <row r="95" spans="1:8" x14ac:dyDescent="0.25">
      <c r="A95" s="278" t="s">
        <v>304</v>
      </c>
      <c r="B95" s="259">
        <v>4280</v>
      </c>
      <c r="C95" s="260">
        <v>4500</v>
      </c>
      <c r="D95" s="261">
        <v>4800</v>
      </c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43130</v>
      </c>
      <c r="C97" s="10">
        <f>SUM(C77:C95)</f>
        <v>45120</v>
      </c>
      <c r="D97" s="10">
        <f>SUM(D77:D95)</f>
        <v>46580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22</v>
      </c>
      <c r="C103" s="255">
        <v>400</v>
      </c>
      <c r="D103" s="12">
        <f>B103*C103</f>
        <v>8800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22</v>
      </c>
      <c r="C104" s="255">
        <v>420</v>
      </c>
      <c r="D104" s="12">
        <f t="shared" ref="D104:D114" si="18">B104*C104</f>
        <v>9240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22</v>
      </c>
      <c r="C105" s="255">
        <v>440</v>
      </c>
      <c r="D105" s="12">
        <f t="shared" si="18"/>
        <v>9680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22</v>
      </c>
      <c r="C106" s="255">
        <v>460</v>
      </c>
      <c r="D106" s="12">
        <f t="shared" si="18"/>
        <v>10120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22</v>
      </c>
      <c r="C107" s="255">
        <v>480</v>
      </c>
      <c r="D107" s="12">
        <f t="shared" si="18"/>
        <v>10560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22</v>
      </c>
      <c r="C108" s="255">
        <v>500</v>
      </c>
      <c r="D108" s="12">
        <f t="shared" si="18"/>
        <v>11000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22</v>
      </c>
      <c r="C109" s="255">
        <v>520</v>
      </c>
      <c r="D109" s="12">
        <f t="shared" si="18"/>
        <v>11440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15</v>
      </c>
      <c r="C110" s="255">
        <v>540</v>
      </c>
      <c r="D110" s="12">
        <f t="shared" si="18"/>
        <v>8100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15</v>
      </c>
      <c r="C111" s="255">
        <v>560</v>
      </c>
      <c r="D111" s="12">
        <f t="shared" si="18"/>
        <v>8400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22</v>
      </c>
      <c r="C112" s="255">
        <v>580</v>
      </c>
      <c r="D112" s="12">
        <f t="shared" si="18"/>
        <v>12760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22</v>
      </c>
      <c r="C113" s="255">
        <v>600</v>
      </c>
      <c r="D113" s="12">
        <f t="shared" si="18"/>
        <v>13200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20</v>
      </c>
      <c r="C114" s="255">
        <v>800</v>
      </c>
      <c r="D114" s="12">
        <f t="shared" si="18"/>
        <v>16000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129300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0.35</v>
      </c>
      <c r="F117" s="206" t="s">
        <v>119</v>
      </c>
      <c r="I117" s="263"/>
    </row>
    <row r="118" spans="1:9" ht="15.95" x14ac:dyDescent="0.3">
      <c r="A118" s="2" t="s">
        <v>57</v>
      </c>
      <c r="D118" s="263">
        <v>0.3</v>
      </c>
      <c r="F118" s="206" t="s">
        <v>118</v>
      </c>
      <c r="I118" s="263"/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0.37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/>
      <c r="C133" s="260">
        <v>8700</v>
      </c>
      <c r="D133" s="261">
        <v>9000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20000</v>
      </c>
      <c r="C134" s="260">
        <v>25000</v>
      </c>
      <c r="D134" s="261">
        <v>40000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88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0</v>
      </c>
      <c r="C139" s="73">
        <f>C133*0.72</f>
        <v>6264</v>
      </c>
      <c r="D139" s="73">
        <f>D133*0.72</f>
        <v>6480</v>
      </c>
      <c r="F139" t="s">
        <v>90</v>
      </c>
      <c r="G139" s="245">
        <f>B133*0.72</f>
        <v>0</v>
      </c>
      <c r="H139" s="246">
        <f>C133*0.72</f>
        <v>6264</v>
      </c>
      <c r="I139" s="73">
        <f>D133*0.72</f>
        <v>6480</v>
      </c>
    </row>
    <row r="140" spans="1:9" ht="15.1" hidden="1" customHeight="1" x14ac:dyDescent="0.25">
      <c r="A140" t="s">
        <v>1</v>
      </c>
      <c r="B140" s="71">
        <f>+'Plan financier à imprimer'!AG11*12.6%</f>
        <v>16291.8</v>
      </c>
      <c r="C140" s="71">
        <f>+'Plan financier à imprimer'!AH11*12.6%</f>
        <v>21993.93</v>
      </c>
      <c r="D140" s="71">
        <f>+'Plan financier à imprimer'!AI11*12.6%</f>
        <v>28592.109</v>
      </c>
      <c r="E140" s="93" t="s">
        <v>132</v>
      </c>
      <c r="F140" t="s">
        <v>1</v>
      </c>
      <c r="G140" s="245">
        <f>+'Plan financier à imprimer'!AG11*6.3%</f>
        <v>8145.9</v>
      </c>
      <c r="H140" s="247">
        <f>+'Plan financier à imprimer'!AH11*12.6%</f>
        <v>21993.93</v>
      </c>
      <c r="I140" s="71">
        <f>+'Plan financier à imprimer'!AI11*12.6%</f>
        <v>28592.109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9331.1243325403357</v>
      </c>
      <c r="C142" s="71">
        <f>IF('Plan financier à imprimer'!AH52*30%&lt;3456,3456,'Plan financier à imprimer'!AH52*30%)</f>
        <v>12798.119332540335</v>
      </c>
      <c r="D142" s="71">
        <f>IF('Plan financier à imprimer'!AI52*30%&lt;3456,3456,'Plan financier à imprimer'!AI52*30%)</f>
        <v>22102.587832540332</v>
      </c>
      <c r="F142" t="s">
        <v>110</v>
      </c>
      <c r="G142" s="245">
        <v>1305</v>
      </c>
      <c r="H142" s="248">
        <f>IF('Plan financier à imprimer'!AH52*32%&lt;3456,3456,'Plan financier à imprimer'!AH52*32%)</f>
        <v>13651.327288043025</v>
      </c>
      <c r="I142" s="72">
        <f>IF('Plan financier à imprimer'!AI52*32%&lt;3456,3456,'Plan financier à imprimer'!AI52*32%)</f>
        <v>23576.09368804302</v>
      </c>
    </row>
    <row r="143" spans="1:9" ht="15.75" hidden="1" customHeight="1" x14ac:dyDescent="0.25">
      <c r="A143" t="s">
        <v>109</v>
      </c>
      <c r="B143" s="71">
        <f>IF(B134*45%&lt;3456,3456,B134*45%)</f>
        <v>9000</v>
      </c>
      <c r="C143" s="71">
        <f>IF(C134*45%&lt;3456,3456,C134*45%)</f>
        <v>11250</v>
      </c>
      <c r="D143" s="71">
        <f>IF(D134*45%&lt;3456,3456,D134*45%)</f>
        <v>18000</v>
      </c>
      <c r="F143" t="s">
        <v>109</v>
      </c>
      <c r="G143" s="245">
        <v>1305</v>
      </c>
      <c r="H143" s="248">
        <f>IF(C134*45%&lt;3456,3456,C134*45%)</f>
        <v>11250</v>
      </c>
      <c r="I143" s="72">
        <f>IF(D134*45%&lt;3456,3456,D134*45%)</f>
        <v>18000</v>
      </c>
    </row>
    <row r="144" spans="1:9" ht="15.1" hidden="1" x14ac:dyDescent="0.25">
      <c r="A144" t="s">
        <v>111</v>
      </c>
      <c r="B144" s="71">
        <f>IF(B134*45%&lt;3456,3456,B134*45%)</f>
        <v>9000</v>
      </c>
      <c r="C144" s="71">
        <f>IF(C134*45%&lt;3456,3456,C134*45%)</f>
        <v>11250</v>
      </c>
      <c r="D144" s="71">
        <f>IF(D134*45%&lt;3456,3456,D134*45%)</f>
        <v>18000</v>
      </c>
      <c r="F144" t="s">
        <v>111</v>
      </c>
      <c r="G144" s="245">
        <v>1305</v>
      </c>
      <c r="H144" s="248">
        <f>IF(C134*45%&lt;3456,3456,C134*45%)</f>
        <v>11250</v>
      </c>
      <c r="I144" s="72">
        <f>IF(D134*45%&lt;3456,3456,D134*45%)</f>
        <v>18000</v>
      </c>
    </row>
    <row r="145" spans="1:9" ht="15.1" hidden="1" x14ac:dyDescent="0.25">
      <c r="A145" t="s">
        <v>112</v>
      </c>
      <c r="B145" s="71">
        <f>B134*70%</f>
        <v>14000</v>
      </c>
      <c r="C145" s="71">
        <f t="shared" ref="C145:D145" si="20">C134*70%</f>
        <v>17500</v>
      </c>
      <c r="D145" s="71">
        <f t="shared" si="20"/>
        <v>28000</v>
      </c>
      <c r="F145" t="s">
        <v>112</v>
      </c>
      <c r="G145" s="245">
        <f>B134*33%</f>
        <v>6600</v>
      </c>
      <c r="H145" s="245">
        <f>C134*70%</f>
        <v>17500</v>
      </c>
      <c r="I145" s="245">
        <f>D134*70%</f>
        <v>28000</v>
      </c>
    </row>
    <row r="146" spans="1:9" ht="15.1" hidden="1" x14ac:dyDescent="0.25">
      <c r="A146" t="s">
        <v>113</v>
      </c>
      <c r="B146" s="71">
        <f>B134*70%</f>
        <v>14000</v>
      </c>
      <c r="C146" s="71">
        <f t="shared" ref="C146:D146" si="21">C134*70%</f>
        <v>17500</v>
      </c>
      <c r="D146" s="71">
        <f t="shared" si="21"/>
        <v>28000</v>
      </c>
      <c r="F146" t="s">
        <v>113</v>
      </c>
      <c r="G146" s="245">
        <f>B134*33%</f>
        <v>6600</v>
      </c>
      <c r="H146" s="245">
        <f>C134*70%</f>
        <v>17500</v>
      </c>
      <c r="I146" s="245">
        <f>D134*70%</f>
        <v>28000</v>
      </c>
    </row>
    <row r="147" spans="1:9" ht="15.1" hidden="1" x14ac:dyDescent="0.25">
      <c r="A147" s="1" t="s">
        <v>108</v>
      </c>
      <c r="B147" s="73">
        <f>SUMIF($A$140:$A$146,$B$8,B140:B146)</f>
        <v>14000</v>
      </c>
      <c r="C147" s="73">
        <f>SUMIF($A$140:$A$146,$B$8,C140:C146)</f>
        <v>17500</v>
      </c>
      <c r="D147" s="73">
        <f>SUMIF($A$140:$A$146,$B$8,D140:D146)</f>
        <v>28000</v>
      </c>
      <c r="F147" s="1" t="s">
        <v>108</v>
      </c>
      <c r="G147" s="245">
        <f>SUMIF($A$140:$A$146,$B$8,G140:G146)</f>
        <v>6600</v>
      </c>
      <c r="H147" s="246">
        <f>SUMIF($A$140:$A$146,$B$8,H140:H146)</f>
        <v>17500</v>
      </c>
      <c r="I147" s="246">
        <f>SUMIF($A$140:$A$146,$B$8,I140:I146)</f>
        <v>28000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Boutique de thé</v>
      </c>
      <c r="T6" s="1" t="s">
        <v>68</v>
      </c>
      <c r="V6" s="3" t="str">
        <f>IF(ISBLANK('Données à saisir'!$B7),"",('Données à saisir'!$B7))</f>
        <v>Boutique de thé</v>
      </c>
      <c r="AC6" s="1" t="s">
        <v>68</v>
      </c>
      <c r="AE6" s="3" t="str">
        <f>IF(ISBLANK('Données à saisir'!$B7),"",('Données à saisir'!$B7))</f>
        <v>Boutique de thé</v>
      </c>
      <c r="AL6" s="1" t="s">
        <v>68</v>
      </c>
      <c r="AN6" s="3" t="str">
        <f>IF(ISBLANK('Données à saisir'!$B7),"",('Données à saisir'!$B7))</f>
        <v>Boutique de thé</v>
      </c>
      <c r="AW6" s="1" t="s">
        <v>68</v>
      </c>
      <c r="AY6" s="3" t="str">
        <f>IF(ISBLANK('Données à saisir'!$B7),"",('Données à saisir'!$B7))</f>
        <v>Boutique de thé</v>
      </c>
      <c r="BF6" s="1" t="s">
        <v>68</v>
      </c>
      <c r="BH6" s="3" t="str">
        <f>IF(ISBLANK('Données à saisir'!$B7),"",('Données à saisir'!$B7))</f>
        <v>Boutique de thé</v>
      </c>
      <c r="BO6" s="1" t="s">
        <v>68</v>
      </c>
      <c r="BQ6" s="3" t="str">
        <f>IF(ISBLANK('Données à saisir'!$B7),"",('Données à saisir'!$B7))</f>
        <v>Boutique de thé</v>
      </c>
      <c r="BV6" s="193" t="s">
        <v>216</v>
      </c>
      <c r="BY6" s="1" t="s">
        <v>68</v>
      </c>
      <c r="CA6" s="3" t="str">
        <f>IF(ISBLANK('Données à saisir'!$B7),"",('Données à saisir'!$B7))</f>
        <v>Boutique de thé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Oui</v>
      </c>
      <c r="AC10" s="51" t="s">
        <v>125</v>
      </c>
      <c r="AD10" s="52"/>
      <c r="AE10" s="52"/>
      <c r="AF10" s="52"/>
      <c r="AG10" s="60">
        <f>SUM(AG11:AG12)</f>
        <v>129300</v>
      </c>
      <c r="AH10" s="60">
        <f t="shared" ref="AH10:AI10" si="0">SUM(AH11:AH12)</f>
        <v>174555</v>
      </c>
      <c r="AI10" s="226">
        <f t="shared" si="0"/>
        <v>226921.5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129300</v>
      </c>
      <c r="AH11" s="62">
        <f>AG11+AG11*'Données à saisir'!D117</f>
        <v>174555</v>
      </c>
      <c r="AI11" s="54">
        <f>AH11+AH11*'Données à saisir'!D118</f>
        <v>226921.5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129300</v>
      </c>
      <c r="BB11" s="60">
        <f>AH10</f>
        <v>174555</v>
      </c>
      <c r="BC11" s="226">
        <f>AI10</f>
        <v>226921.5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97800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47841</v>
      </c>
      <c r="BB12" s="104">
        <f>AQ15</f>
        <v>64585.35</v>
      </c>
      <c r="BC12" s="120">
        <f>AS15</f>
        <v>83960.955000000002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600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47841</v>
      </c>
      <c r="AH13" s="57">
        <f>AH14</f>
        <v>64585.35</v>
      </c>
      <c r="AI13" s="53">
        <f>AI14</f>
        <v>83960.955000000002</v>
      </c>
      <c r="AL13" s="107" t="s">
        <v>153</v>
      </c>
      <c r="AM13" s="34"/>
      <c r="AN13" s="34"/>
      <c r="AO13" s="119">
        <f>AG10</f>
        <v>129300</v>
      </c>
      <c r="AP13" s="139">
        <v>1</v>
      </c>
      <c r="AQ13" s="119">
        <f>AH10</f>
        <v>174555</v>
      </c>
      <c r="AR13" s="140">
        <v>1</v>
      </c>
      <c r="AS13" s="119">
        <f>AI10</f>
        <v>226921.5</v>
      </c>
      <c r="AT13" s="141">
        <v>1</v>
      </c>
      <c r="AW13" s="123" t="s">
        <v>177</v>
      </c>
      <c r="BA13" s="104">
        <f>BA12</f>
        <v>47841</v>
      </c>
      <c r="BB13" s="104">
        <f t="shared" ref="BB13:BC13" si="1">BB12</f>
        <v>64585.35</v>
      </c>
      <c r="BC13" s="120">
        <f t="shared" si="1"/>
        <v>83960.955000000002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 t="str">
        <f>IF(ISBLANK('Données à saisir'!B18),"",'Données à saisir'!B18)</f>
        <v/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47841</v>
      </c>
      <c r="AH14" s="62">
        <f>'Données à saisir'!$D$123*'Plan financier à imprimer'!AH11</f>
        <v>64585.35</v>
      </c>
      <c r="AI14" s="54">
        <f>'Données à saisir'!$D$123*'Plan financier à imprimer'!AI11</f>
        <v>83960.955000000002</v>
      </c>
      <c r="AL14" s="38" t="s">
        <v>154</v>
      </c>
      <c r="AO14" s="104">
        <f>AG10</f>
        <v>129300</v>
      </c>
      <c r="AP14" s="142">
        <v>1</v>
      </c>
      <c r="AQ14" s="104">
        <f>AH10</f>
        <v>174555</v>
      </c>
      <c r="AR14" s="143">
        <v>1</v>
      </c>
      <c r="AS14" s="104">
        <f>AI10</f>
        <v>226921.5</v>
      </c>
      <c r="AT14" s="144">
        <v>1</v>
      </c>
      <c r="AW14" s="123" t="s">
        <v>178</v>
      </c>
      <c r="BA14" s="57">
        <f>BA11-BA13</f>
        <v>81459</v>
      </c>
      <c r="BB14" s="57">
        <f t="shared" ref="BB14:BC14" si="2">BB11-BB13</f>
        <v>109969.65</v>
      </c>
      <c r="BC14" s="53">
        <f t="shared" si="2"/>
        <v>142960.54499999998</v>
      </c>
      <c r="BF14" s="186" t="s">
        <v>201</v>
      </c>
      <c r="BG14" s="52"/>
      <c r="BH14" s="52"/>
      <c r="BI14" s="52"/>
      <c r="BJ14" s="187">
        <f>Q12+Q23</f>
        <v>124800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1500</v>
      </c>
      <c r="T15" s="51" t="s">
        <v>145</v>
      </c>
      <c r="U15" s="52"/>
      <c r="V15" s="52"/>
      <c r="W15" s="52"/>
      <c r="X15" s="60">
        <f>'Données à saisir'!B134</f>
        <v>20000</v>
      </c>
      <c r="Y15" s="60">
        <f>'Données à saisir'!C134</f>
        <v>25000</v>
      </c>
      <c r="Z15" s="61">
        <f>'Données à saisir'!D134</f>
        <v>40000</v>
      </c>
      <c r="AC15" s="67"/>
      <c r="AG15" s="62"/>
      <c r="AH15" s="62"/>
      <c r="AI15" s="69"/>
      <c r="AL15" s="70" t="s">
        <v>80</v>
      </c>
      <c r="AO15" s="104">
        <f>AG14</f>
        <v>47841</v>
      </c>
      <c r="AP15" s="145">
        <f>AO15/$AO$14</f>
        <v>0.37</v>
      </c>
      <c r="AQ15" s="104">
        <f>AH14</f>
        <v>64585.35</v>
      </c>
      <c r="AR15" s="145">
        <f>AQ15/$AQ$14</f>
        <v>0.37</v>
      </c>
      <c r="AS15" s="104">
        <f>AI14</f>
        <v>83960.955000000002</v>
      </c>
      <c r="AT15" s="146">
        <f>AS15/$AS$14</f>
        <v>0.37</v>
      </c>
      <c r="AW15" s="63" t="s">
        <v>195</v>
      </c>
      <c r="AX15" s="64"/>
      <c r="AY15" s="64"/>
      <c r="AZ15" s="64"/>
      <c r="BA15" s="154">
        <f>IF(ISERROR(BA14/BA11),0,BA14/BA11)</f>
        <v>0.63</v>
      </c>
      <c r="BB15" s="154">
        <f t="shared" ref="BB15:BC15" si="3">IF(ISERROR(BB14/BB11),0,BB14/BB11)</f>
        <v>0.63</v>
      </c>
      <c r="BC15" s="158">
        <f t="shared" si="3"/>
        <v>0.62999999999999989</v>
      </c>
      <c r="BF15" s="123" t="s">
        <v>266</v>
      </c>
      <c r="BJ15" s="104">
        <f>Q30</f>
        <v>15000</v>
      </c>
      <c r="BK15" s="104"/>
      <c r="BL15" s="120"/>
      <c r="BO15" s="192" t="s">
        <v>202</v>
      </c>
      <c r="BP15" s="52"/>
      <c r="BQ15" s="52"/>
      <c r="BR15" s="187">
        <f>BJ19</f>
        <v>75000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75000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0.25</v>
      </c>
      <c r="Z16" s="103">
        <f>IF(ISERROR((Z15-Y15)/Y15),"",(Z15-Y15)/Y15)</f>
        <v>0.6</v>
      </c>
      <c r="AC16" s="63" t="s">
        <v>127</v>
      </c>
      <c r="AD16" s="64"/>
      <c r="AE16" s="64"/>
      <c r="AF16" s="64"/>
      <c r="AG16" s="65">
        <f>AG10-AG13</f>
        <v>81459</v>
      </c>
      <c r="AH16" s="65">
        <f>AH10-AH13</f>
        <v>109969.65</v>
      </c>
      <c r="AI16" s="66">
        <f>AI10-AI13</f>
        <v>142960.54499999998</v>
      </c>
      <c r="AL16" s="63" t="s">
        <v>156</v>
      </c>
      <c r="AM16" s="64"/>
      <c r="AN16" s="64"/>
      <c r="AO16" s="65">
        <f>AO14-AO15</f>
        <v>81459</v>
      </c>
      <c r="AP16" s="147">
        <f t="shared" ref="AP16:AP28" si="5">AO16/$AO$14</f>
        <v>0.63</v>
      </c>
      <c r="AQ16" s="65">
        <f t="shared" ref="AQ16:AS16" si="6">AQ14-AQ15</f>
        <v>109969.65</v>
      </c>
      <c r="AR16" s="148">
        <f t="shared" ref="AR16:AR28" si="7">AQ16/$AQ$14</f>
        <v>0.63</v>
      </c>
      <c r="AS16" s="65">
        <f t="shared" si="6"/>
        <v>142960.54499999998</v>
      </c>
      <c r="AT16" s="150">
        <f t="shared" ref="AT16:AT28" si="8">AS16/$AS$14</f>
        <v>0.62999999999999989</v>
      </c>
      <c r="AW16" s="123" t="s">
        <v>179</v>
      </c>
      <c r="BA16" s="104">
        <f>SUM(AO17,AO19,AO20,AO22,AO24)</f>
        <v>76955.252224865544</v>
      </c>
      <c r="BB16" s="104">
        <f>SUM(AQ17,AQ19,AQ20,AQ22,AQ24)</f>
        <v>109809.25222486554</v>
      </c>
      <c r="BC16" s="159">
        <f>SUM(AS17,AS19,AS20,AS22,AS24)</f>
        <v>137285.25222486554</v>
      </c>
      <c r="BF16" s="123" t="s">
        <v>199</v>
      </c>
      <c r="BJ16" s="104">
        <f>BA39</f>
        <v>-3932.1369863013697</v>
      </c>
      <c r="BK16" s="104">
        <f>BB39-BA39</f>
        <v>-1376.2479452054795</v>
      </c>
      <c r="BL16" s="120">
        <f>+BC39-BB39</f>
        <v>-1592.5154794520549</v>
      </c>
      <c r="BO16" s="123" t="s">
        <v>203</v>
      </c>
      <c r="BR16" s="104">
        <f>BJ20</f>
        <v>75300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75300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>
        <f>IF(ISBLANK('Données à saisir'!B21),"",'Données à saisir'!B21)</f>
        <v>12000</v>
      </c>
      <c r="T17" s="37" t="s">
        <v>146</v>
      </c>
      <c r="X17" s="57">
        <f>AG40</f>
        <v>6600</v>
      </c>
      <c r="Y17" s="57">
        <f>AH40</f>
        <v>17500</v>
      </c>
      <c r="Z17" s="53">
        <f>AI40</f>
        <v>28000</v>
      </c>
      <c r="AC17" s="37" t="s">
        <v>128</v>
      </c>
      <c r="AG17" s="57">
        <f>SUM(AG18:AG33)</f>
        <v>42380</v>
      </c>
      <c r="AH17" s="57">
        <f>SUM(AH18:AH33)</f>
        <v>43320</v>
      </c>
      <c r="AI17" s="68">
        <f>SUM(AI18:AI33)</f>
        <v>44630</v>
      </c>
      <c r="AL17" s="70" t="s">
        <v>81</v>
      </c>
      <c r="AO17" s="104">
        <f>AG17</f>
        <v>42380</v>
      </c>
      <c r="AP17" s="145">
        <f t="shared" si="5"/>
        <v>0.32776488785769531</v>
      </c>
      <c r="AQ17" s="104">
        <f>AH17</f>
        <v>43320</v>
      </c>
      <c r="AR17" s="149">
        <f t="shared" si="7"/>
        <v>0.24817392798831314</v>
      </c>
      <c r="AS17" s="104">
        <f>AI17</f>
        <v>44630</v>
      </c>
      <c r="AT17" s="146">
        <f t="shared" si="8"/>
        <v>0.19667594300231578</v>
      </c>
      <c r="AW17" s="63" t="s">
        <v>196</v>
      </c>
      <c r="AX17" s="64"/>
      <c r="AY17" s="64"/>
      <c r="AZ17" s="64"/>
      <c r="BA17" s="65">
        <f>BA12+BA16</f>
        <v>124796.25222486554</v>
      </c>
      <c r="BB17" s="65">
        <f t="shared" ref="BB17:BC17" si="9">BB12+BB16</f>
        <v>174394.60222486555</v>
      </c>
      <c r="BC17" s="66">
        <f t="shared" si="9"/>
        <v>221246.20722486556</v>
      </c>
      <c r="BF17" s="123" t="s">
        <v>200</v>
      </c>
      <c r="BJ17" s="104">
        <f>AO45</f>
        <v>10757.142857142857</v>
      </c>
      <c r="BK17" s="104">
        <f>AQ45</f>
        <v>10757.142857142857</v>
      </c>
      <c r="BL17" s="120">
        <f>AS45</f>
        <v>10757.142857142857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80000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700</v>
      </c>
      <c r="AH18" s="62">
        <f>IF(ISBLANK('Données à saisir'!C77),0,'Données à saisir'!C77)</f>
        <v>720</v>
      </c>
      <c r="AI18" s="54">
        <f>IF(ISBLANK('Données à saisir'!D77),0,'Données à saisir'!D77)</f>
        <v>730</v>
      </c>
      <c r="AL18" s="63" t="s">
        <v>129</v>
      </c>
      <c r="AM18" s="64"/>
      <c r="AN18" s="64"/>
      <c r="AO18" s="65">
        <f>AO16-AO17</f>
        <v>39079</v>
      </c>
      <c r="AP18" s="147">
        <f t="shared" si="5"/>
        <v>0.3022351121423047</v>
      </c>
      <c r="AQ18" s="65">
        <f t="shared" ref="AQ18:AS18" si="10">AQ16-AQ17</f>
        <v>66649.649999999994</v>
      </c>
      <c r="AR18" s="148">
        <f t="shared" si="7"/>
        <v>0.38182607201168683</v>
      </c>
      <c r="AS18" s="65">
        <f t="shared" si="10"/>
        <v>98330.544999999984</v>
      </c>
      <c r="AT18" s="150">
        <f t="shared" si="8"/>
        <v>0.43332405699768417</v>
      </c>
      <c r="AW18" s="123" t="s">
        <v>180</v>
      </c>
      <c r="BA18" s="104">
        <f>AG44</f>
        <v>4503.7477751344559</v>
      </c>
      <c r="BB18" s="104">
        <f>AH44</f>
        <v>160.39777513445006</v>
      </c>
      <c r="BC18" s="159">
        <f>AI44</f>
        <v>5675.2927751344396</v>
      </c>
      <c r="BF18" s="63" t="s">
        <v>198</v>
      </c>
      <c r="BG18" s="64"/>
      <c r="BH18" s="64"/>
      <c r="BI18" s="64"/>
      <c r="BJ18" s="188">
        <f>SUM(BJ14:BJ17)</f>
        <v>146625.0058708415</v>
      </c>
      <c r="BK18" s="189">
        <f>SUM(BK14:BK17)</f>
        <v>9380.8949119373774</v>
      </c>
      <c r="BL18" s="190">
        <f>SUM(BL14:BL17)</f>
        <v>9164.6273776908019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0</v>
      </c>
      <c r="Y19" s="60">
        <f>'Données à saisir'!C133</f>
        <v>8700</v>
      </c>
      <c r="Z19" s="61">
        <f>'Données à saisir'!D133</f>
        <v>9000</v>
      </c>
      <c r="AC19" s="44" t="str">
        <f>'Données à saisir'!A78</f>
        <v>Téléphone, internet</v>
      </c>
      <c r="AG19" s="62">
        <f>IF(ISBLANK('Données à saisir'!B78),0,'Données à saisir'!B78)</f>
        <v>900</v>
      </c>
      <c r="AH19" s="62">
        <f>IF(ISBLANK('Données à saisir'!C78),0,'Données à saisir'!C78)</f>
        <v>950</v>
      </c>
      <c r="AI19" s="54">
        <f>IF(ISBLANK('Données à saisir'!D78),0,'Données à saisir'!D78)</f>
        <v>1000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1000</v>
      </c>
      <c r="AR19" s="149">
        <f t="shared" si="7"/>
        <v>5.7288533699979948E-3</v>
      </c>
      <c r="AS19" s="104">
        <f>AI36</f>
        <v>1100</v>
      </c>
      <c r="AT19" s="146">
        <f t="shared" si="8"/>
        <v>4.8474913130752261E-3</v>
      </c>
      <c r="AW19" s="63" t="s">
        <v>197</v>
      </c>
      <c r="AX19" s="64"/>
      <c r="AY19" s="64"/>
      <c r="AZ19" s="64"/>
      <c r="BA19" s="65">
        <f>IF(ISERROR(BA16/BA15),0,BA16/BA15)</f>
        <v>122151.19400772308</v>
      </c>
      <c r="BB19" s="65">
        <f t="shared" ref="BB19:BC19" si="11">IF(ISERROR(BB16/BB15),0,BB16/BB15)</f>
        <v>174300.40035692943</v>
      </c>
      <c r="BC19" s="66">
        <f t="shared" si="11"/>
        <v>217913.09876962789</v>
      </c>
      <c r="BF19" s="123" t="s">
        <v>202</v>
      </c>
      <c r="BJ19" s="104">
        <f>Q37</f>
        <v>75000</v>
      </c>
      <c r="BK19" s="104"/>
      <c r="BL19" s="159"/>
      <c r="BO19" s="192" t="s">
        <v>213</v>
      </c>
      <c r="BP19" s="34"/>
      <c r="BQ19" s="34"/>
      <c r="BR19" s="119">
        <f>'Données à saisir'!D103</f>
        <v>8800</v>
      </c>
      <c r="BS19" s="119">
        <f>'Données à saisir'!D104</f>
        <v>9240</v>
      </c>
      <c r="BT19" s="119">
        <f>'Données à saisir'!D105</f>
        <v>9680</v>
      </c>
      <c r="BU19" s="119">
        <f>'Données à saisir'!D106</f>
        <v>10120</v>
      </c>
      <c r="BV19" s="209">
        <f>'Données à saisir'!D107</f>
        <v>10560</v>
      </c>
      <c r="BY19" s="210">
        <f>'Données à saisir'!D108</f>
        <v>11000</v>
      </c>
      <c r="BZ19" s="119">
        <f>'Données à saisir'!D109</f>
        <v>11440</v>
      </c>
      <c r="CA19" s="119">
        <f>'Données à saisir'!D110</f>
        <v>8100</v>
      </c>
      <c r="CB19" s="119">
        <f>'Données à saisir'!D111</f>
        <v>8400</v>
      </c>
      <c r="CC19" s="119">
        <f>'Données à saisir'!D112</f>
        <v>12760</v>
      </c>
      <c r="CD19" s="119">
        <f>'Données à saisir'!D113</f>
        <v>13200</v>
      </c>
      <c r="CE19" s="211">
        <f>'Données à saisir'!D114</f>
        <v>16000</v>
      </c>
      <c r="CF19" s="213">
        <f>SUM(BR19:CE19)</f>
        <v>129300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2500</v>
      </c>
      <c r="T20" s="44"/>
      <c r="U20" s="3" t="s">
        <v>142</v>
      </c>
      <c r="X20" s="62"/>
      <c r="Y20" s="102" t="str">
        <f>IF(ISERROR((Y19-X19)/X19),"",(Y19-X19)/X19)</f>
        <v/>
      </c>
      <c r="Z20" s="103">
        <f>IF(ISERROR((Z19-Y19)/Y19),"",(Z19-Y19)/Y19)</f>
        <v>3.4482758620689655E-2</v>
      </c>
      <c r="AC20" s="44" t="str">
        <f>'Données à saisir'!A79</f>
        <v>Autres abonnements</v>
      </c>
      <c r="AG20" s="62">
        <f>IF(ISBLANK('Données à saisir'!B79),0,'Données à saisir'!B79)</f>
        <v>200</v>
      </c>
      <c r="AH20" s="62">
        <f>IF(ISBLANK('Données à saisir'!C79),0,'Données à saisir'!C79)</f>
        <v>250</v>
      </c>
      <c r="AI20" s="54">
        <f>IF(ISBLANK('Données à saisir'!D79),0,'Données à saisir'!D79)</f>
        <v>300</v>
      </c>
      <c r="AL20" s="38" t="s">
        <v>155</v>
      </c>
      <c r="AM20" s="1"/>
      <c r="AN20" s="1"/>
      <c r="AO20" s="104">
        <f>SUM(AG37:AG40)</f>
        <v>26600</v>
      </c>
      <c r="AP20" s="145">
        <f t="shared" si="5"/>
        <v>0.205723124516628</v>
      </c>
      <c r="AQ20" s="104">
        <f>SUM(AH37:AH40)</f>
        <v>57464</v>
      </c>
      <c r="AR20" s="149">
        <f t="shared" si="7"/>
        <v>0.32920283005356477</v>
      </c>
      <c r="AS20" s="104">
        <f>SUM(AI37:AI40)</f>
        <v>83480</v>
      </c>
      <c r="AT20" s="146">
        <f t="shared" si="8"/>
        <v>0.36788052255956355</v>
      </c>
      <c r="AW20" s="123" t="s">
        <v>181</v>
      </c>
      <c r="BA20" s="104">
        <f>BA11-BA19</f>
        <v>7148.8059922769171</v>
      </c>
      <c r="BB20" s="104">
        <f t="shared" ref="BB20:BC20" si="12">BB11-BB19</f>
        <v>254.59964307057089</v>
      </c>
      <c r="BC20" s="120">
        <f t="shared" si="12"/>
        <v>9008.4012303721101</v>
      </c>
      <c r="BF20" s="123" t="s">
        <v>203</v>
      </c>
      <c r="BJ20" s="104">
        <f>Q40</f>
        <v>75300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500</v>
      </c>
      <c r="T21" s="37" t="s">
        <v>144</v>
      </c>
      <c r="X21" s="57">
        <f>'Données à saisir'!B139</f>
        <v>0</v>
      </c>
      <c r="Y21" s="57">
        <f>'Données à saisir'!C139</f>
        <v>6264</v>
      </c>
      <c r="Z21" s="53">
        <f>'Données à saisir'!D139</f>
        <v>6480</v>
      </c>
      <c r="AC21" s="44" t="str">
        <f>'Données à saisir'!A80</f>
        <v>Carburant, transports</v>
      </c>
      <c r="AG21" s="62">
        <f>IF(ISBLANK('Données à saisir'!B80),0,'Données à saisir'!B80)</f>
        <v>1500</v>
      </c>
      <c r="AH21" s="62">
        <f>IF(ISBLANK('Données à saisir'!C80),0,'Données à saisir'!C80)</f>
        <v>1700</v>
      </c>
      <c r="AI21" s="54">
        <f>IF(ISBLANK('Données à saisir'!D80),0,'Données à saisir'!D80)</f>
        <v>1900</v>
      </c>
      <c r="AL21" s="63" t="s">
        <v>130</v>
      </c>
      <c r="AM21" s="64"/>
      <c r="AN21" s="64"/>
      <c r="AO21" s="65">
        <f>AO18-AO19-AO20</f>
        <v>12479</v>
      </c>
      <c r="AP21" s="147">
        <f t="shared" si="5"/>
        <v>9.6511987625676726E-2</v>
      </c>
      <c r="AQ21" s="65">
        <f t="shared" ref="AQ21:AS21" si="14">AQ18-AQ19-AQ20</f>
        <v>8185.6499999999942</v>
      </c>
      <c r="AR21" s="148">
        <f t="shared" si="7"/>
        <v>4.6894388588124052E-2</v>
      </c>
      <c r="AS21" s="65">
        <f t="shared" si="14"/>
        <v>13750.544999999984</v>
      </c>
      <c r="AT21" s="150">
        <f t="shared" si="8"/>
        <v>6.0596043125045372E-2</v>
      </c>
      <c r="AW21" s="208" t="s">
        <v>182</v>
      </c>
      <c r="AX21" s="36"/>
      <c r="AY21" s="36"/>
      <c r="AZ21" s="36"/>
      <c r="BA21" s="156">
        <f>BA19/250</f>
        <v>488.60477603089231</v>
      </c>
      <c r="BB21" s="156">
        <f t="shared" ref="BB21:BC21" si="15">BB19/250</f>
        <v>697.20160142771772</v>
      </c>
      <c r="BC21" s="157">
        <f t="shared" si="15"/>
        <v>871.65239507851152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8800</v>
      </c>
      <c r="BS21" s="65">
        <f t="shared" ref="BS21:BV21" si="16">SUM(BS19:BS20)</f>
        <v>9240</v>
      </c>
      <c r="BT21" s="65">
        <f t="shared" si="16"/>
        <v>9680</v>
      </c>
      <c r="BU21" s="65">
        <f t="shared" si="16"/>
        <v>10120</v>
      </c>
      <c r="BV21" s="66">
        <f t="shared" si="16"/>
        <v>10560</v>
      </c>
      <c r="BY21" s="197">
        <f t="shared" ref="BY21:CE21" si="17">SUM(BY19:BY20)</f>
        <v>11000</v>
      </c>
      <c r="BZ21" s="65">
        <f t="shared" si="17"/>
        <v>11440</v>
      </c>
      <c r="CA21" s="65">
        <f t="shared" si="17"/>
        <v>8100</v>
      </c>
      <c r="CB21" s="65">
        <f t="shared" si="17"/>
        <v>8400</v>
      </c>
      <c r="CC21" s="65">
        <f t="shared" si="17"/>
        <v>12760</v>
      </c>
      <c r="CD21" s="65">
        <f t="shared" si="17"/>
        <v>13200</v>
      </c>
      <c r="CE21" s="131">
        <f t="shared" si="17"/>
        <v>16000</v>
      </c>
      <c r="CF21" s="200">
        <f t="shared" si="13"/>
        <v>129300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700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0</v>
      </c>
      <c r="AH22" s="62">
        <f>IF(ISBLANK('Données à saisir'!C81),0,'Données à saisir'!C81)</f>
        <v>0</v>
      </c>
      <c r="AI22" s="54">
        <f>IF(ISBLANK('Données à saisir'!D81),0,'Données à saisir'!D81)</f>
        <v>0</v>
      </c>
      <c r="AL22" s="38" t="s">
        <v>157</v>
      </c>
      <c r="AO22" s="104">
        <f>AG43</f>
        <v>6042.8571428571431</v>
      </c>
      <c r="AP22" s="145">
        <f t="shared" si="5"/>
        <v>4.6735167384819358E-2</v>
      </c>
      <c r="AQ22" s="104">
        <f>AH43</f>
        <v>6042.8571428571431</v>
      </c>
      <c r="AR22" s="149">
        <f t="shared" si="7"/>
        <v>3.4618642507273596E-2</v>
      </c>
      <c r="AS22" s="104">
        <f>AI43</f>
        <v>6042.8571428571431</v>
      </c>
      <c r="AT22" s="146">
        <f t="shared" si="8"/>
        <v>2.6629725005595076E-2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97800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97800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27000</v>
      </c>
      <c r="AC23" s="44" t="str">
        <f>'Données à saisir'!A82</f>
        <v>Eau, électricité, gaz</v>
      </c>
      <c r="AG23" s="62">
        <f>IF(ISBLANK('Données à saisir'!B82),0,'Données à saisir'!B82)</f>
        <v>2800</v>
      </c>
      <c r="AH23" s="62">
        <f>IF(ISBLANK('Données à saisir'!C82),0,'Données à saisir'!C82)</f>
        <v>3000</v>
      </c>
      <c r="AI23" s="54">
        <f>IF(ISBLANK('Données à saisir'!D82),0,'Données à saisir'!D82)</f>
        <v>3200</v>
      </c>
      <c r="AL23" s="63" t="s">
        <v>158</v>
      </c>
      <c r="AM23" s="64"/>
      <c r="AN23" s="64"/>
      <c r="AO23" s="65">
        <f>AO21-AO22</f>
        <v>6436.1428571428569</v>
      </c>
      <c r="AP23" s="147">
        <f t="shared" si="5"/>
        <v>4.9776820240857361E-2</v>
      </c>
      <c r="AQ23" s="65">
        <f t="shared" ref="AQ23:AS23" si="18">AQ21-AQ22</f>
        <v>2142.7928571428511</v>
      </c>
      <c r="AR23" s="148">
        <f t="shared" si="7"/>
        <v>1.2275746080850454E-2</v>
      </c>
      <c r="AS23" s="65">
        <f t="shared" si="18"/>
        <v>7707.6878571428406</v>
      </c>
      <c r="AT23" s="150">
        <f t="shared" si="8"/>
        <v>3.3966318119450299E-2</v>
      </c>
      <c r="AW23" s="4"/>
      <c r="BA23" s="99"/>
      <c r="BB23" s="99"/>
      <c r="BC23" s="99"/>
      <c r="BF23" s="123" t="s">
        <v>206</v>
      </c>
      <c r="BJ23" s="104">
        <f>AO44</f>
        <v>9871.0427517214302</v>
      </c>
      <c r="BK23" s="104">
        <f>AQ44</f>
        <v>6179.1952517214249</v>
      </c>
      <c r="BL23" s="159">
        <f>AS44</f>
        <v>10866.856001721417</v>
      </c>
      <c r="BO23" s="123" t="s">
        <v>70</v>
      </c>
      <c r="BR23" s="104">
        <f>Q23</f>
        <v>27000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27000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650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1932.3950820084015</v>
      </c>
      <c r="AP24" s="145">
        <f t="shared" si="5"/>
        <v>1.4945050904937366E-2</v>
      </c>
      <c r="AQ24" s="104">
        <f>AH42</f>
        <v>1982.3950820084015</v>
      </c>
      <c r="AR24" s="149">
        <f t="shared" si="7"/>
        <v>1.1356850746231282E-2</v>
      </c>
      <c r="AS24" s="104">
        <f>AI42</f>
        <v>2032.3950820084015</v>
      </c>
      <c r="AT24" s="146">
        <f t="shared" si="8"/>
        <v>8.9563795497932166E-3</v>
      </c>
      <c r="BF24" s="63" t="s">
        <v>207</v>
      </c>
      <c r="BG24" s="64"/>
      <c r="BH24" s="64"/>
      <c r="BI24" s="64"/>
      <c r="BJ24" s="65">
        <f>SUM(BJ19:BJ23)</f>
        <v>160171.04275172143</v>
      </c>
      <c r="BK24" s="65">
        <f>SUM(BK19:BK23)</f>
        <v>6179.1952517214249</v>
      </c>
      <c r="BL24" s="66">
        <f>SUM(BL19:BL23)</f>
        <v>10866.856001721417</v>
      </c>
      <c r="BO24" s="63" t="s">
        <v>227</v>
      </c>
      <c r="BP24" s="64"/>
      <c r="BQ24" s="64"/>
      <c r="BR24" s="65">
        <f>SUM(BR22:BR23)</f>
        <v>124800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124800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950</v>
      </c>
      <c r="AH25" s="62">
        <f>IF(ISBLANK('Données à saisir'!C84),0,'Données à saisir'!C84)</f>
        <v>1000</v>
      </c>
      <c r="AI25" s="54">
        <f>IF(ISBLANK('Données à saisir'!D84),0,'Données à saisir'!D84)</f>
        <v>1100</v>
      </c>
      <c r="AL25" s="38" t="s">
        <v>159</v>
      </c>
      <c r="AM25" s="1"/>
      <c r="AN25" s="1"/>
      <c r="AO25" s="104">
        <f>AO24*-1</f>
        <v>-1932.3950820084015</v>
      </c>
      <c r="AP25" s="145">
        <f t="shared" si="5"/>
        <v>-1.4945050904937366E-2</v>
      </c>
      <c r="AQ25" s="104">
        <f t="shared" ref="AQ25:AS25" si="19">AQ24*-1</f>
        <v>-1982.3950820084015</v>
      </c>
      <c r="AR25" s="149">
        <f t="shared" si="7"/>
        <v>-1.1356850746231282E-2</v>
      </c>
      <c r="AS25" s="104">
        <f t="shared" si="19"/>
        <v>-2032.3950820084015</v>
      </c>
      <c r="AT25" s="146">
        <f t="shared" si="8"/>
        <v>-8.9563795497932166E-3</v>
      </c>
      <c r="BA25" s="90"/>
      <c r="BF25" s="123" t="s">
        <v>208</v>
      </c>
      <c r="BJ25" s="104">
        <f>BJ24-BJ18</f>
        <v>13546.036880879925</v>
      </c>
      <c r="BK25" s="104">
        <f>BK24-BK18</f>
        <v>-3201.6996602159525</v>
      </c>
      <c r="BL25" s="120">
        <f>BL24-BL18</f>
        <v>1702.2286240306148</v>
      </c>
      <c r="BO25" s="123" t="s">
        <v>261</v>
      </c>
      <c r="BR25" s="104">
        <f>Q30</f>
        <v>15000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15000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18000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0</v>
      </c>
      <c r="AH26" s="62">
        <f>IF(ISBLANK('Données à saisir'!C85),0,'Données à saisir'!C85)</f>
        <v>0</v>
      </c>
      <c r="AI26" s="54">
        <f>IF(ISBLANK('Données à saisir'!D85),0,'Données à saisir'!D85)</f>
        <v>0</v>
      </c>
      <c r="AL26" s="63" t="s">
        <v>161</v>
      </c>
      <c r="AM26" s="64"/>
      <c r="AN26" s="64"/>
      <c r="AO26" s="65">
        <f>AO23+AO25</f>
        <v>4503.7477751344559</v>
      </c>
      <c r="AP26" s="147">
        <f t="shared" si="5"/>
        <v>3.4831769335919999E-2</v>
      </c>
      <c r="AQ26" s="65">
        <f t="shared" ref="AQ26:AS26" si="21">AQ23+AQ25</f>
        <v>160.3977751344496</v>
      </c>
      <c r="AR26" s="148">
        <f t="shared" si="7"/>
        <v>9.1889533461917219E-4</v>
      </c>
      <c r="AS26" s="65">
        <f t="shared" si="21"/>
        <v>5675.2927751344396</v>
      </c>
      <c r="AT26" s="150">
        <f t="shared" si="8"/>
        <v>2.5009938569657081E-2</v>
      </c>
      <c r="BF26" s="63" t="s">
        <v>262</v>
      </c>
      <c r="BG26" s="64"/>
      <c r="BH26" s="64"/>
      <c r="BI26" s="64"/>
      <c r="BJ26" s="65">
        <f>BJ25</f>
        <v>13546.036880879925</v>
      </c>
      <c r="BK26" s="65">
        <f>BJ26+BK25</f>
        <v>10344.337220663972</v>
      </c>
      <c r="BL26" s="66">
        <f>+BK26+BL25</f>
        <v>12046.565844694587</v>
      </c>
      <c r="BO26" s="123" t="s">
        <v>228</v>
      </c>
      <c r="BR26" s="104">
        <f>IF(ISERROR('Données à saisir'!$J$73/12),0,'Données à saisir'!$J$73/12)</f>
        <v>896.42857142857144</v>
      </c>
      <c r="BS26" s="104">
        <f>IF(ISERROR('Données à saisir'!$J$73/12),0,'Données à saisir'!$J$73/12)</f>
        <v>896.42857142857144</v>
      </c>
      <c r="BT26" s="104">
        <f>IF(ISERROR('Données à saisir'!$J$73/12),0,'Données à saisir'!$J$73/12)</f>
        <v>896.42857142857144</v>
      </c>
      <c r="BU26" s="104">
        <f>IF(ISERROR('Données à saisir'!$J$73/12),0,'Données à saisir'!$J$73/12)</f>
        <v>896.42857142857144</v>
      </c>
      <c r="BV26" s="120">
        <f>IF(ISERROR('Données à saisir'!$J$73/12),0,'Données à saisir'!$J$73/12)</f>
        <v>896.42857142857144</v>
      </c>
      <c r="BY26" s="196">
        <f>IF(ISERROR('Données à saisir'!$J$73/12),0,'Données à saisir'!$J$73/12)</f>
        <v>896.42857142857144</v>
      </c>
      <c r="BZ26" s="104">
        <f>IF(ISERROR('Données à saisir'!$J$73/12),0,'Données à saisir'!$J$73/12)</f>
        <v>896.42857142857144</v>
      </c>
      <c r="CA26" s="104">
        <f>IF(ISERROR('Données à saisir'!$J$73/12),0,'Données à saisir'!$J$73/12)</f>
        <v>896.42857142857144</v>
      </c>
      <c r="CB26" s="104">
        <f>IF(ISERROR('Données à saisir'!$J$73/12),0,'Données à saisir'!$J$73/12)</f>
        <v>896.42857142857144</v>
      </c>
      <c r="CC26" s="104">
        <f>IF(ISERROR('Données à saisir'!$J$73/12),0,'Données à saisir'!$J$73/12)</f>
        <v>896.42857142857144</v>
      </c>
      <c r="CD26" s="104">
        <f>IF(ISERROR('Données à saisir'!$J$73/12),0,'Données à saisir'!$J$73/12)</f>
        <v>896.42857142857144</v>
      </c>
      <c r="CE26" s="132">
        <f>IF(ISERROR('Données à saisir'!$J$73/12),0,'Données à saisir'!$J$73/12)</f>
        <v>896.42857142857144</v>
      </c>
      <c r="CF26" s="201">
        <f t="shared" si="20"/>
        <v>10757.142857142855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4000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450</v>
      </c>
      <c r="AH27" s="62">
        <f>IF(ISBLANK('Données à saisir'!C86),0,'Données à saisir'!C86)</f>
        <v>500</v>
      </c>
      <c r="AI27" s="54">
        <f>IF(ISBLANK('Données à saisir'!D86),0,'Données à saisir'!D86)</f>
        <v>550</v>
      </c>
      <c r="AL27" s="63" t="s">
        <v>162</v>
      </c>
      <c r="AM27" s="64"/>
      <c r="AN27" s="64"/>
      <c r="AO27" s="65">
        <f>IF(ISERROR(AO26-AG45),AO26,(AO26-AG45))</f>
        <v>3828.1856088642876</v>
      </c>
      <c r="AP27" s="147">
        <f t="shared" si="5"/>
        <v>2.9607003935531999E-2</v>
      </c>
      <c r="AQ27" s="65">
        <f>IF(ISERROR(AQ26-AH45),AQ26,(AQ26-AH45))</f>
        <v>136.33810886428211</v>
      </c>
      <c r="AR27" s="148">
        <f t="shared" si="7"/>
        <v>7.8106103442629601E-4</v>
      </c>
      <c r="AS27" s="65">
        <f>IF(ISERROR(AS26-AI45),AS26,(AS26-AI45))</f>
        <v>4823.9988588642736</v>
      </c>
      <c r="AT27" s="150">
        <f t="shared" si="8"/>
        <v>2.1258447784208521E-2</v>
      </c>
      <c r="BO27" s="123" t="s">
        <v>229</v>
      </c>
      <c r="BR27" s="104">
        <f>BR19*'Données à saisir'!$D$123</f>
        <v>3256</v>
      </c>
      <c r="BS27" s="104">
        <f>BS19*'Données à saisir'!$D$123</f>
        <v>3418.8</v>
      </c>
      <c r="BT27" s="104">
        <f>BT19*'Données à saisir'!$D$123</f>
        <v>3581.6</v>
      </c>
      <c r="BU27" s="104">
        <f>BU19*'Données à saisir'!$D$123</f>
        <v>3744.4</v>
      </c>
      <c r="BV27" s="120">
        <f>BV19*'Données à saisir'!$D$123</f>
        <v>3907.2</v>
      </c>
      <c r="BY27" s="196">
        <f>BY19*'Données à saisir'!$D$123</f>
        <v>4070</v>
      </c>
      <c r="BZ27" s="104">
        <f>BZ19*'Données à saisir'!$D$123</f>
        <v>4232.8</v>
      </c>
      <c r="CA27" s="104">
        <f>CA19*'Données à saisir'!$D$123</f>
        <v>2997</v>
      </c>
      <c r="CB27" s="104">
        <f>CB19*'Données à saisir'!$D$123</f>
        <v>3108</v>
      </c>
      <c r="CC27" s="104">
        <f>CC19*'Données à saisir'!$D$123</f>
        <v>4721.2</v>
      </c>
      <c r="CD27" s="104">
        <f>CD19*'Données à saisir'!$D$123</f>
        <v>4884</v>
      </c>
      <c r="CE27" s="132">
        <f>CE19*'Données à saisir'!$D$123</f>
        <v>5920</v>
      </c>
      <c r="CF27" s="201">
        <f t="shared" si="20"/>
        <v>47841</v>
      </c>
    </row>
    <row r="28" spans="2:84" ht="15.1" customHeight="1" thickBot="1" x14ac:dyDescent="0.3">
      <c r="B28" s="26"/>
      <c r="C28" s="327" t="str">
        <f>IF(ISBLANK('Données à saisir'!B7),"",('Données à saisir'!B7))</f>
        <v>Boutique de thé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1500</v>
      </c>
      <c r="AC28" s="44" t="str">
        <f>'Données à saisir'!A87</f>
        <v>Budget publicité et communication</v>
      </c>
      <c r="AG28" s="62">
        <f>IF(ISBLANK('Données à saisir'!B87),0,'Données à saisir'!B87)</f>
        <v>3500</v>
      </c>
      <c r="AH28" s="62">
        <f>IF(ISBLANK('Données à saisir'!C87),0,'Données à saisir'!C87)</f>
        <v>3000</v>
      </c>
      <c r="AI28" s="54">
        <f>IF(ISBLANK('Données à saisir'!D87),0,'Données à saisir'!D87)</f>
        <v>3000</v>
      </c>
      <c r="AL28" s="38" t="s">
        <v>160</v>
      </c>
      <c r="AM28" s="1"/>
      <c r="AN28" s="1"/>
      <c r="AO28" s="104">
        <f>AO27+AO22</f>
        <v>9871.0427517214302</v>
      </c>
      <c r="AP28" s="145">
        <f t="shared" si="5"/>
        <v>7.6342171320351357E-2</v>
      </c>
      <c r="AQ28" s="104">
        <f t="shared" ref="AQ28:AS28" si="22">AQ27+AQ22</f>
        <v>6179.1952517214249</v>
      </c>
      <c r="AR28" s="149">
        <f t="shared" si="7"/>
        <v>3.5399703541699891E-2</v>
      </c>
      <c r="AS28" s="104">
        <f t="shared" si="22"/>
        <v>10866.856001721417</v>
      </c>
      <c r="AT28" s="151">
        <f t="shared" si="8"/>
        <v>4.7888172789803597E-2</v>
      </c>
      <c r="BF28" s="92" t="s">
        <v>258</v>
      </c>
      <c r="BI28" s="338">
        <f>Q31</f>
        <v>10500</v>
      </c>
      <c r="BJ28" s="338"/>
      <c r="BO28" s="123" t="s">
        <v>81</v>
      </c>
      <c r="BR28" s="104">
        <f>$AG$17/12</f>
        <v>3531.6666666666665</v>
      </c>
      <c r="BS28" s="104">
        <f t="shared" ref="BS28:CE28" si="23">$AG$17/12</f>
        <v>3531.6666666666665</v>
      </c>
      <c r="BT28" s="104">
        <f t="shared" si="23"/>
        <v>3531.6666666666665</v>
      </c>
      <c r="BU28" s="104">
        <f t="shared" si="23"/>
        <v>3531.6666666666665</v>
      </c>
      <c r="BV28" s="120">
        <f t="shared" si="23"/>
        <v>3531.6666666666665</v>
      </c>
      <c r="BY28" s="196">
        <f t="shared" si="23"/>
        <v>3531.6666666666665</v>
      </c>
      <c r="BZ28" s="104">
        <f t="shared" si="23"/>
        <v>3531.6666666666665</v>
      </c>
      <c r="CA28" s="104">
        <f t="shared" si="23"/>
        <v>3531.6666666666665</v>
      </c>
      <c r="CB28" s="104">
        <f t="shared" si="23"/>
        <v>3531.6666666666665</v>
      </c>
      <c r="CC28" s="104">
        <f t="shared" si="23"/>
        <v>3531.6666666666665</v>
      </c>
      <c r="CD28" s="104">
        <f t="shared" si="23"/>
        <v>3531.6666666666665</v>
      </c>
      <c r="CE28" s="132">
        <f t="shared" si="23"/>
        <v>3531.6666666666665</v>
      </c>
      <c r="CF28" s="201">
        <f t="shared" si="20"/>
        <v>42380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23000</v>
      </c>
      <c r="AH29" s="62">
        <f>IF(ISBLANK('Données à saisir'!C88),0,'Données à saisir'!C88)</f>
        <v>23300</v>
      </c>
      <c r="AI29" s="54">
        <f>IF(ISBLANK('Données à saisir'!D88),0,'Données à saisir'!D88)</f>
        <v>23500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15000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2600</v>
      </c>
      <c r="AH30" s="62">
        <f>IF(ISBLANK('Données à saisir'!C89),0,'Données à saisir'!C89)</f>
        <v>2800</v>
      </c>
      <c r="AI30" s="54">
        <f>IF(ISBLANK('Données à saisir'!D89),0,'Données à saisir'!D89)</f>
        <v>2900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0</v>
      </c>
      <c r="BS30" s="119">
        <f t="shared" si="24"/>
        <v>0</v>
      </c>
      <c r="BT30" s="119">
        <f t="shared" si="24"/>
        <v>0</v>
      </c>
      <c r="BU30" s="119">
        <f t="shared" si="24"/>
        <v>0</v>
      </c>
      <c r="BV30" s="209">
        <f t="shared" si="24"/>
        <v>0</v>
      </c>
      <c r="BY30" s="210">
        <f t="shared" si="25"/>
        <v>0</v>
      </c>
      <c r="BZ30" s="119">
        <f t="shared" si="25"/>
        <v>0</v>
      </c>
      <c r="CA30" s="119">
        <f t="shared" si="25"/>
        <v>0</v>
      </c>
      <c r="CB30" s="119">
        <f t="shared" si="25"/>
        <v>0</v>
      </c>
      <c r="CC30" s="119">
        <f t="shared" si="25"/>
        <v>0</v>
      </c>
      <c r="CD30" s="119">
        <f t="shared" si="25"/>
        <v>0</v>
      </c>
      <c r="CE30" s="211">
        <f t="shared" si="25"/>
        <v>0</v>
      </c>
      <c r="CF30" s="213">
        <f t="shared" si="20"/>
        <v>0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10500</v>
      </c>
      <c r="T31" s="107" t="s">
        <v>149</v>
      </c>
      <c r="U31" s="34"/>
      <c r="V31" s="34"/>
      <c r="W31" s="34"/>
      <c r="X31" s="110">
        <f>SUM(X33:X39)</f>
        <v>2185.7142857142858</v>
      </c>
      <c r="Y31" s="110">
        <f>SUM(Y33:Y39)</f>
        <v>2185.7142857142858</v>
      </c>
      <c r="Z31" s="111">
        <f>SUM(Z33:Z39)</f>
        <v>2185.7142857142858</v>
      </c>
      <c r="AC31" s="44" t="str">
        <f>IF(ISBLANK('Données à saisir'!A93),"",'Données à saisir'!A93)</f>
        <v>Sacem</v>
      </c>
      <c r="AG31" s="62">
        <f>IF(ISBLANK('Données à saisir'!B93),0,'Données à saisir'!B93)</f>
        <v>300</v>
      </c>
      <c r="AH31" s="62">
        <f>IF(ISBLANK('Données à saisir'!C93),0,'Données à saisir'!C93)</f>
        <v>300</v>
      </c>
      <c r="AI31" s="69">
        <f>IF(ISBLANK('Données à saisir'!D93),0,'Données à saisir'!D93)</f>
        <v>300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0</v>
      </c>
      <c r="BS31" s="104">
        <f t="shared" si="24"/>
        <v>0</v>
      </c>
      <c r="BT31" s="104">
        <f t="shared" si="24"/>
        <v>0</v>
      </c>
      <c r="BU31" s="104">
        <f t="shared" si="24"/>
        <v>0</v>
      </c>
      <c r="BV31" s="120">
        <f t="shared" si="24"/>
        <v>0</v>
      </c>
      <c r="BY31" s="196">
        <f t="shared" si="25"/>
        <v>0</v>
      </c>
      <c r="BZ31" s="104">
        <f t="shared" si="25"/>
        <v>0</v>
      </c>
      <c r="CA31" s="104">
        <f t="shared" si="25"/>
        <v>0</v>
      </c>
      <c r="CB31" s="104">
        <f t="shared" si="25"/>
        <v>0</v>
      </c>
      <c r="CC31" s="104">
        <f t="shared" si="25"/>
        <v>0</v>
      </c>
      <c r="CD31" s="104">
        <f t="shared" si="25"/>
        <v>0</v>
      </c>
      <c r="CE31" s="132">
        <f t="shared" si="25"/>
        <v>0</v>
      </c>
      <c r="CF31" s="201">
        <f t="shared" si="20"/>
        <v>0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150300</v>
      </c>
      <c r="T32" s="35"/>
      <c r="X32" s="234"/>
      <c r="Y32" s="234"/>
      <c r="Z32" s="235"/>
      <c r="AC32" s="44" t="str">
        <f>IF(ISBLANK('Données à saisir'!A94),"",'Données à saisir'!A94)</f>
        <v>Droits de terrasse</v>
      </c>
      <c r="AD32" s="50"/>
      <c r="AE32" s="50"/>
      <c r="AF32" s="50"/>
      <c r="AG32" s="62">
        <f>IF(ISBLANK('Données à saisir'!B94),0,'Données à saisir'!B94)</f>
        <v>550</v>
      </c>
      <c r="AH32" s="62">
        <f>IF(ISBLANK('Données à saisir'!C94),0,'Données à saisir'!C94)</f>
        <v>580</v>
      </c>
      <c r="AI32" s="69">
        <f>IF(ISBLANK('Données à saisir'!D94),0,'Données à saisir'!D94)</f>
        <v>610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1666.6666666666667</v>
      </c>
      <c r="BS32" s="104">
        <f t="shared" si="24"/>
        <v>1666.6666666666667</v>
      </c>
      <c r="BT32" s="104">
        <f t="shared" si="24"/>
        <v>1666.6666666666667</v>
      </c>
      <c r="BU32" s="104">
        <f t="shared" si="24"/>
        <v>1666.6666666666667</v>
      </c>
      <c r="BV32" s="120">
        <f t="shared" si="24"/>
        <v>1666.6666666666667</v>
      </c>
      <c r="BY32" s="196">
        <f t="shared" si="25"/>
        <v>1666.6666666666667</v>
      </c>
      <c r="BZ32" s="104">
        <f t="shared" si="25"/>
        <v>1666.6666666666667</v>
      </c>
      <c r="CA32" s="104">
        <f t="shared" si="25"/>
        <v>1666.6666666666667</v>
      </c>
      <c r="CB32" s="104">
        <f t="shared" si="25"/>
        <v>1666.6666666666667</v>
      </c>
      <c r="CC32" s="104">
        <f t="shared" si="25"/>
        <v>1666.6666666666667</v>
      </c>
      <c r="CD32" s="104">
        <f t="shared" si="25"/>
        <v>1666.6666666666667</v>
      </c>
      <c r="CE32" s="132">
        <f t="shared" si="25"/>
        <v>1666.6666666666667</v>
      </c>
      <c r="CF32" s="201">
        <f t="shared" si="20"/>
        <v>20000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85.714285714285708</v>
      </c>
      <c r="Y33" s="113">
        <f>'Données à saisir'!D40</f>
        <v>85.714285714285708</v>
      </c>
      <c r="Z33" s="236">
        <f>'Données à saisir'!E40</f>
        <v>85.714285714285708</v>
      </c>
      <c r="AC33" s="44" t="str">
        <f>IF(ISBLANK('Données à saisir'!A95),"",'Données à saisir'!A95)</f>
        <v>Royalties</v>
      </c>
      <c r="AG33" s="62">
        <f>IF(ISBLANK('Données à saisir'!B95),0,'Données à saisir'!B95)</f>
        <v>4280</v>
      </c>
      <c r="AH33" s="62">
        <f>IF(ISBLANK('Données à saisir'!C95),0,'Données à saisir'!C95)</f>
        <v>4500</v>
      </c>
      <c r="AI33" s="69">
        <f>IF(ISBLANK('Données à saisir'!D95),0,'Données à saisir'!D95)</f>
        <v>4800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550</v>
      </c>
      <c r="BS33" s="104">
        <f t="shared" si="24"/>
        <v>550</v>
      </c>
      <c r="BT33" s="104">
        <f t="shared" si="24"/>
        <v>550</v>
      </c>
      <c r="BU33" s="104">
        <f t="shared" si="24"/>
        <v>550</v>
      </c>
      <c r="BV33" s="120">
        <f t="shared" si="24"/>
        <v>550</v>
      </c>
      <c r="BY33" s="196">
        <f t="shared" si="25"/>
        <v>550</v>
      </c>
      <c r="BZ33" s="104">
        <f t="shared" si="25"/>
        <v>550</v>
      </c>
      <c r="CA33" s="104">
        <f t="shared" si="25"/>
        <v>550</v>
      </c>
      <c r="CB33" s="104">
        <f t="shared" si="25"/>
        <v>550</v>
      </c>
      <c r="CC33" s="104">
        <f t="shared" si="25"/>
        <v>550</v>
      </c>
      <c r="CD33" s="104">
        <f t="shared" si="25"/>
        <v>550</v>
      </c>
      <c r="CE33" s="132">
        <f t="shared" si="25"/>
        <v>550</v>
      </c>
      <c r="CF33" s="201">
        <f t="shared" si="20"/>
        <v>6600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214.28571428571428</v>
      </c>
      <c r="Y34" s="113">
        <f>'Données à saisir'!D42</f>
        <v>214.28571428571428</v>
      </c>
      <c r="Z34" s="236">
        <f>'Données à saisir'!E42</f>
        <v>214.28571428571428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2216.666666666667</v>
      </c>
      <c r="BS34" s="65">
        <f t="shared" ref="BS34:CE34" si="27">SUM(BS30:BS33)</f>
        <v>2216.666666666667</v>
      </c>
      <c r="BT34" s="65">
        <f t="shared" si="27"/>
        <v>2216.666666666667</v>
      </c>
      <c r="BU34" s="65">
        <f t="shared" si="27"/>
        <v>2216.666666666667</v>
      </c>
      <c r="BV34" s="66">
        <f t="shared" si="27"/>
        <v>2216.666666666667</v>
      </c>
      <c r="BY34" s="197">
        <f t="shared" si="27"/>
        <v>2216.666666666667</v>
      </c>
      <c r="BZ34" s="65">
        <f t="shared" si="27"/>
        <v>2216.666666666667</v>
      </c>
      <c r="CA34" s="65">
        <f t="shared" si="27"/>
        <v>2216.666666666667</v>
      </c>
      <c r="CB34" s="65">
        <f t="shared" si="27"/>
        <v>2216.666666666667</v>
      </c>
      <c r="CC34" s="65">
        <f t="shared" si="27"/>
        <v>2216.666666666667</v>
      </c>
      <c r="CD34" s="65">
        <f t="shared" si="27"/>
        <v>2216.666666666667</v>
      </c>
      <c r="CE34" s="131">
        <f t="shared" si="27"/>
        <v>2216.666666666667</v>
      </c>
      <c r="CF34" s="200">
        <f t="shared" si="20"/>
        <v>26600.000000000011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1714.2857142857142</v>
      </c>
      <c r="Y35" s="113">
        <f>'Données à saisir'!D44</f>
        <v>1714.2857142857142</v>
      </c>
      <c r="Z35" s="236">
        <f>'Données à saisir'!E44</f>
        <v>1714.2857142857142</v>
      </c>
      <c r="AC35" s="63" t="s">
        <v>129</v>
      </c>
      <c r="AD35" s="64"/>
      <c r="AE35" s="64"/>
      <c r="AF35" s="64"/>
      <c r="AG35" s="65">
        <f>AG16-AG17</f>
        <v>39079</v>
      </c>
      <c r="AH35" s="65">
        <f>AH16-AH17</f>
        <v>66649.649999999994</v>
      </c>
      <c r="AI35" s="66">
        <f>AI16-AI17</f>
        <v>98330.544999999984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161.03292350070012</v>
      </c>
      <c r="BS35" s="104">
        <f>$AG42/12</f>
        <v>161.03292350070012</v>
      </c>
      <c r="BT35" s="104">
        <f>$AG42/12</f>
        <v>161.03292350070012</v>
      </c>
      <c r="BU35" s="104">
        <f>$AG42/12</f>
        <v>161.03292350070012</v>
      </c>
      <c r="BV35" s="120">
        <f>$AG42/12</f>
        <v>161.03292350070012</v>
      </c>
      <c r="BY35" s="196">
        <f t="shared" ref="BY35:CE35" si="28">$AG42/12</f>
        <v>161.03292350070012</v>
      </c>
      <c r="BZ35" s="104">
        <f t="shared" si="28"/>
        <v>161.03292350070012</v>
      </c>
      <c r="CA35" s="104">
        <f t="shared" si="28"/>
        <v>161.03292350070012</v>
      </c>
      <c r="CB35" s="104">
        <f t="shared" si="28"/>
        <v>161.03292350070012</v>
      </c>
      <c r="CC35" s="104">
        <f t="shared" si="28"/>
        <v>161.03292350070012</v>
      </c>
      <c r="CD35" s="104">
        <f t="shared" si="28"/>
        <v>161.03292350070012</v>
      </c>
      <c r="CE35" s="132">
        <f t="shared" si="28"/>
        <v>161.03292350070012</v>
      </c>
      <c r="CF35" s="201">
        <f t="shared" si="20"/>
        <v>1932.3950820084019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71.428571428571431</v>
      </c>
      <c r="Y36" s="113">
        <f>'Données à saisir'!D48</f>
        <v>71.428571428571431</v>
      </c>
      <c r="Z36" s="236">
        <f>'Données à saisir'!E48</f>
        <v>71.428571428571431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1000</v>
      </c>
      <c r="AI36" s="53">
        <f>IF(ISBLANK('Données à saisir'!D91),0,'Données à saisir'!D91)</f>
        <v>1100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149861.79482826259</v>
      </c>
      <c r="BS36" s="65">
        <f>SUM(BS24:BS29,BS34:BS35)</f>
        <v>10224.594828262603</v>
      </c>
      <c r="BT36" s="65">
        <f>SUM(BT24:BT29,BT34:BT35)</f>
        <v>10387.394828262602</v>
      </c>
      <c r="BU36" s="65">
        <f>SUM(BU24:BU29,BU34:BU35)</f>
        <v>10550.194828262605</v>
      </c>
      <c r="BV36" s="66">
        <f>SUM(BV24:BV29,BV34:BV35)</f>
        <v>10712.994828262605</v>
      </c>
      <c r="BY36" s="197">
        <f t="shared" ref="BY36:CE36" si="29">SUM(BY24:BY29,BY34:BY35)</f>
        <v>10875.794828262604</v>
      </c>
      <c r="BZ36" s="65">
        <f t="shared" si="29"/>
        <v>11038.594828262603</v>
      </c>
      <c r="CA36" s="65">
        <f t="shared" si="29"/>
        <v>9802.7948282626039</v>
      </c>
      <c r="CB36" s="65">
        <f t="shared" si="29"/>
        <v>9913.7948282626039</v>
      </c>
      <c r="CC36" s="65">
        <f t="shared" si="29"/>
        <v>11526.994828262605</v>
      </c>
      <c r="CD36" s="65">
        <f t="shared" si="29"/>
        <v>11689.794828262604</v>
      </c>
      <c r="CE36" s="131">
        <f t="shared" si="29"/>
        <v>12725.794828262604</v>
      </c>
      <c r="CF36" s="200">
        <f t="shared" si="20"/>
        <v>269310.53793915128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75000</v>
      </c>
      <c r="T37" s="44" t="str">
        <f>K22</f>
        <v>Frais de notaire ou d’avocat</v>
      </c>
      <c r="X37" s="113">
        <f>'Données à saisir'!C49</f>
        <v>100</v>
      </c>
      <c r="Y37" s="113">
        <f>'Données à saisir'!D49</f>
        <v>100</v>
      </c>
      <c r="Z37" s="236">
        <f>'Données à saisir'!E49</f>
        <v>100</v>
      </c>
      <c r="AC37" s="38" t="s">
        <v>23</v>
      </c>
      <c r="AG37" s="57">
        <f>'Données à saisir'!B133</f>
        <v>0</v>
      </c>
      <c r="AH37" s="57">
        <f>'Données à saisir'!C133</f>
        <v>8700</v>
      </c>
      <c r="AI37" s="53">
        <f>'Données à saisir'!D133</f>
        <v>9000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159100</v>
      </c>
      <c r="BS37" s="65">
        <f>SUM(BS15:BS20)</f>
        <v>9240</v>
      </c>
      <c r="BT37" s="65">
        <f>SUM(BT15:BT20)</f>
        <v>9680</v>
      </c>
      <c r="BU37" s="65">
        <f>SUM(BU15:BU20)</f>
        <v>10120</v>
      </c>
      <c r="BV37" s="66">
        <f>SUM(BV15:BV20)</f>
        <v>10560</v>
      </c>
      <c r="BY37" s="197">
        <f t="shared" ref="BY37:CE37" si="30">SUM(BY15:BY20)</f>
        <v>11000</v>
      </c>
      <c r="BZ37" s="65">
        <f t="shared" si="30"/>
        <v>11440</v>
      </c>
      <c r="CA37" s="65">
        <f t="shared" si="30"/>
        <v>8100</v>
      </c>
      <c r="CB37" s="65">
        <f t="shared" si="30"/>
        <v>8400</v>
      </c>
      <c r="CC37" s="65">
        <f t="shared" si="30"/>
        <v>12760</v>
      </c>
      <c r="CD37" s="65">
        <f t="shared" si="30"/>
        <v>13200</v>
      </c>
      <c r="CE37" s="131">
        <f t="shared" si="30"/>
        <v>16000</v>
      </c>
      <c r="CF37" s="200">
        <f t="shared" ref="CF37" si="31">SUM(BR37:CE37)</f>
        <v>279600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75000</v>
      </c>
      <c r="T38" s="44"/>
      <c r="X38" s="113"/>
      <c r="Y38" s="113"/>
      <c r="Z38" s="236"/>
      <c r="AC38" s="123" t="s">
        <v>24</v>
      </c>
      <c r="AG38" s="104">
        <f>'Données à saisir'!B139</f>
        <v>0</v>
      </c>
      <c r="AH38" s="104">
        <f>'Données à saisir'!C139</f>
        <v>6264</v>
      </c>
      <c r="AI38" s="120">
        <f>'Données à saisir'!D139</f>
        <v>6480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3932.1369863013697</v>
      </c>
      <c r="BB38" s="177">
        <f>BB12/365*$AZ38</f>
        <v>5308.3849315068492</v>
      </c>
      <c r="BC38" s="178">
        <f>BC12/365*$AZ38</f>
        <v>6900.9004109589041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9238.2051717374125</v>
      </c>
      <c r="BT38" s="104">
        <f>BS40</f>
        <v>8253.6103434748093</v>
      </c>
      <c r="BU38" s="104">
        <f>BT40</f>
        <v>7546.2155152122068</v>
      </c>
      <c r="BV38" s="159">
        <f>BU40</f>
        <v>7116.0206869496014</v>
      </c>
      <c r="BY38" s="196">
        <f>BV40</f>
        <v>6963.0258586869968</v>
      </c>
      <c r="BZ38" s="104">
        <f t="shared" ref="BZ38:CE38" si="32">BY40</f>
        <v>7087.2310304243929</v>
      </c>
      <c r="CA38" s="104">
        <f t="shared" si="32"/>
        <v>7488.6362021617897</v>
      </c>
      <c r="CB38" s="104">
        <f t="shared" si="32"/>
        <v>5785.8413738991858</v>
      </c>
      <c r="CC38" s="104">
        <f t="shared" si="32"/>
        <v>4272.0465456365819</v>
      </c>
      <c r="CD38" s="104">
        <f t="shared" si="32"/>
        <v>5505.0517173739772</v>
      </c>
      <c r="CE38" s="132">
        <f t="shared" si="32"/>
        <v>7015.2568891113733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20000</v>
      </c>
      <c r="AH39" s="57">
        <f>'Données à saisir'!C134</f>
        <v>25000</v>
      </c>
      <c r="AI39" s="53">
        <f>'Données à saisir'!D134</f>
        <v>40000</v>
      </c>
      <c r="AW39" s="166" t="s">
        <v>191</v>
      </c>
      <c r="AX39" s="165"/>
      <c r="AY39" s="64"/>
      <c r="AZ39" s="167"/>
      <c r="BA39" s="173">
        <f>BA36-BA38</f>
        <v>-3932.1369863013697</v>
      </c>
      <c r="BB39" s="174">
        <f>BB36-BB38</f>
        <v>-5308.3849315068492</v>
      </c>
      <c r="BC39" s="175">
        <f>BC36-BC38</f>
        <v>-6900.9004109589041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9238.2051717374125</v>
      </c>
      <c r="BS39" s="57">
        <f t="shared" ref="BS39:CE39" si="33">BS37-BS36</f>
        <v>-984.59482826260319</v>
      </c>
      <c r="BT39" s="57">
        <f t="shared" si="33"/>
        <v>-707.39482826260246</v>
      </c>
      <c r="BU39" s="57">
        <f t="shared" si="33"/>
        <v>-430.19482826260537</v>
      </c>
      <c r="BV39" s="68">
        <f t="shared" si="33"/>
        <v>-152.99482826260464</v>
      </c>
      <c r="BW39" s="1"/>
      <c r="BX39" s="1"/>
      <c r="BY39" s="215">
        <f t="shared" si="33"/>
        <v>124.20517173739609</v>
      </c>
      <c r="BZ39" s="57">
        <f t="shared" si="33"/>
        <v>401.40517173739681</v>
      </c>
      <c r="CA39" s="57">
        <f t="shared" si="33"/>
        <v>-1702.7948282626039</v>
      </c>
      <c r="CB39" s="57">
        <f t="shared" si="33"/>
        <v>-1513.7948282626039</v>
      </c>
      <c r="CC39" s="57">
        <f t="shared" si="33"/>
        <v>1233.0051717373954</v>
      </c>
      <c r="CD39" s="57">
        <f t="shared" si="33"/>
        <v>1510.2051717373961</v>
      </c>
      <c r="CE39" s="74">
        <f t="shared" si="33"/>
        <v>3274.2051717373961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75300</v>
      </c>
      <c r="T40" s="107" t="s">
        <v>150</v>
      </c>
      <c r="U40" s="34"/>
      <c r="V40" s="34"/>
      <c r="W40" s="34"/>
      <c r="X40" s="110">
        <f>SUM(X42:X46)</f>
        <v>3857.1428571428573</v>
      </c>
      <c r="Y40" s="110">
        <f>SUM(Y42:Y46)</f>
        <v>3857.1428571428573</v>
      </c>
      <c r="Z40" s="237">
        <f>SUM(Z42:Z46)</f>
        <v>3857.1428571428573</v>
      </c>
      <c r="AC40" s="123" t="s">
        <v>84</v>
      </c>
      <c r="AF40" s="3" t="str">
        <f>IF('Données à saisir'!C136="Oui","(Acre)","")</f>
        <v>(Acre)</v>
      </c>
      <c r="AG40" s="104">
        <f>IF('Données à saisir'!C136="Oui",'Données à saisir'!G147,'Données à saisir'!B147)</f>
        <v>6600</v>
      </c>
      <c r="AH40" s="104">
        <f>IF('Données à saisir'!C136="Oui",'Données à saisir'!H147,'Données à saisir'!C147)</f>
        <v>17500</v>
      </c>
      <c r="AI40" s="120">
        <f>IF('Données à saisir'!C136="Oui",'Données à saisir'!I147,'Données à saisir'!D147)</f>
        <v>28000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9238.2051717374125</v>
      </c>
      <c r="BS40" s="65">
        <f>BS38+BS39</f>
        <v>8253.6103434748093</v>
      </c>
      <c r="BT40" s="65">
        <f>BT38+BT39</f>
        <v>7546.2155152122068</v>
      </c>
      <c r="BU40" s="65">
        <f>BU38+BU39</f>
        <v>7116.0206869496014</v>
      </c>
      <c r="BV40" s="66">
        <f t="shared" ref="BV40:CE40" si="34">BV38+BV39</f>
        <v>6963.0258586869968</v>
      </c>
      <c r="BY40" s="197">
        <f t="shared" si="34"/>
        <v>7087.2310304243929</v>
      </c>
      <c r="BZ40" s="65">
        <f t="shared" si="34"/>
        <v>7488.6362021617897</v>
      </c>
      <c r="CA40" s="65">
        <f t="shared" si="34"/>
        <v>5785.8413738991858</v>
      </c>
      <c r="CB40" s="65">
        <f t="shared" si="34"/>
        <v>4272.0465456365819</v>
      </c>
      <c r="CC40" s="65">
        <f t="shared" si="34"/>
        <v>5505.0517173739772</v>
      </c>
      <c r="CD40" s="65">
        <f t="shared" si="34"/>
        <v>7015.2568891113733</v>
      </c>
      <c r="CE40" s="131">
        <f t="shared" si="34"/>
        <v>10289.462060848769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0.03</v>
      </c>
      <c r="O41" s="96">
        <f>IF(ISBLANK('Données à saisir'!D61),"",'Données à saisir'!D61)</f>
        <v>84</v>
      </c>
      <c r="Q41" s="42">
        <f>IF(ISBLANK('Données à saisir'!B61),0,'Données à saisir'!B61)</f>
        <v>75300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12479</v>
      </c>
      <c r="AH41" s="65">
        <f t="shared" ref="AH41:AI41" si="35">AH35-SUM(AH36:AH40)</f>
        <v>8185.6499999999942</v>
      </c>
      <c r="AI41" s="66">
        <f t="shared" si="35"/>
        <v>13750.544999999984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500</v>
      </c>
      <c r="Y42" s="113">
        <f>'Données à saisir'!D50</f>
        <v>500</v>
      </c>
      <c r="Z42" s="236">
        <f>'Données à saisir'!E50</f>
        <v>500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1932.3950820084015</v>
      </c>
      <c r="AH42" s="57">
        <f>'Données à saisir'!C90+SUM('Données à saisir'!H70:H72)</f>
        <v>1982.3950820084015</v>
      </c>
      <c r="AI42" s="53">
        <f>'Données à saisir'!D90+SUM('Données à saisir'!I70:I72)</f>
        <v>2032.3950820084015</v>
      </c>
      <c r="AL42" s="63" t="s">
        <v>162</v>
      </c>
      <c r="AM42" s="64"/>
      <c r="AN42" s="64"/>
      <c r="AO42" s="131">
        <f>AO27</f>
        <v>3828.1856088642876</v>
      </c>
      <c r="AP42" s="136"/>
      <c r="AQ42" s="131">
        <f>AQ27</f>
        <v>136.33810886428211</v>
      </c>
      <c r="AR42" s="136"/>
      <c r="AS42" s="128">
        <f>AS27</f>
        <v>4823.9988588642736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6042.8571428571431</v>
      </c>
      <c r="AH43" s="57">
        <f>'Données à saisir'!D39</f>
        <v>6042.8571428571431</v>
      </c>
      <c r="AI43" s="53">
        <f>'Données à saisir'!E39</f>
        <v>6042.8571428571431</v>
      </c>
      <c r="AL43" s="122" t="s">
        <v>163</v>
      </c>
      <c r="AM43" s="1"/>
      <c r="AN43" s="1"/>
      <c r="AO43" s="132">
        <f>AO22</f>
        <v>6042.8571428571431</v>
      </c>
      <c r="AP43" s="137"/>
      <c r="AQ43" s="132">
        <f>AQ22</f>
        <v>6042.8571428571431</v>
      </c>
      <c r="AR43" s="137"/>
      <c r="AS43" s="127">
        <f>AS22</f>
        <v>6042.8571428571431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2571.4285714285716</v>
      </c>
      <c r="Y44" s="113">
        <f>'Données à saisir'!D52</f>
        <v>2571.4285714285716</v>
      </c>
      <c r="Z44" s="236">
        <f>'Données à saisir'!E52</f>
        <v>2571.4285714285716</v>
      </c>
      <c r="AC44" s="63" t="s">
        <v>131</v>
      </c>
      <c r="AD44" s="64"/>
      <c r="AE44" s="64"/>
      <c r="AF44" s="64"/>
      <c r="AG44" s="65">
        <f>AG41-AG42-AG43</f>
        <v>4503.7477751344559</v>
      </c>
      <c r="AH44" s="65">
        <f t="shared" ref="AH44:AI44" si="37">AH41-AH42-AH43</f>
        <v>160.39777513445006</v>
      </c>
      <c r="AI44" s="66">
        <f t="shared" si="37"/>
        <v>5675.2927751344396</v>
      </c>
      <c r="AL44" s="63" t="s">
        <v>160</v>
      </c>
      <c r="AM44" s="64"/>
      <c r="AN44" s="64"/>
      <c r="AO44" s="131">
        <f>AO42+AO43</f>
        <v>9871.0427517214302</v>
      </c>
      <c r="AP44" s="136"/>
      <c r="AQ44" s="131">
        <f t="shared" ref="AQ44:AS44" si="38">AQ42+AQ43</f>
        <v>6179.1952517214249</v>
      </c>
      <c r="AR44" s="136"/>
      <c r="AS44" s="128">
        <f t="shared" si="38"/>
        <v>10866.856001721417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571.42857142857144</v>
      </c>
      <c r="Y45" s="113">
        <f>'Données à saisir'!D53</f>
        <v>571.42857142857144</v>
      </c>
      <c r="Z45" s="236">
        <f>'Données à saisir'!E53</f>
        <v>571.42857142857144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675.5621662701684</v>
      </c>
      <c r="AH45" s="57">
        <f>IF(AC45="Impôt sur les sociétés",IF(AH44&lt;0,0,IF(AH44&gt;38120,38120*0.15+(AH44-38120)*25%,AH44*0.15)),"")</f>
        <v>24.059666270167508</v>
      </c>
      <c r="AI45" s="53">
        <f>+IF(AC45="Impôt sur les sociétés",IF(AI44&lt;0,0,IF(AI44&gt;38120,38120*0.15+(AI44-38120)*25%,AI44*0.15)),"")</f>
        <v>851.29391627016594</v>
      </c>
      <c r="AL45" s="123" t="s">
        <v>164</v>
      </c>
      <c r="AO45" s="132">
        <f>IF(ISERROR(SUM('Données à saisir'!J70:J72)),0,SUM('Données à saisir'!J70:J72))</f>
        <v>10757.142857142857</v>
      </c>
      <c r="AP45" s="137"/>
      <c r="AQ45" s="132">
        <f>SUM('Données à saisir'!K70:K72)</f>
        <v>10757.142857142857</v>
      </c>
      <c r="AR45" s="137"/>
      <c r="AS45" s="127">
        <f>SUM('Données à saisir'!L70:L72)</f>
        <v>10757.142857142857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214.28571428571428</v>
      </c>
      <c r="Y46" s="113">
        <f>'Données à saisir'!D54</f>
        <v>214.28571428571428</v>
      </c>
      <c r="Z46" s="236">
        <f>'Données à saisir'!E54</f>
        <v>214.28571428571428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-886.10010542142663</v>
      </c>
      <c r="AP46" s="138"/>
      <c r="AQ46" s="133">
        <f>AQ44-AQ45</f>
        <v>-4577.9476054214319</v>
      </c>
      <c r="AR46" s="138"/>
      <c r="AS46" s="129">
        <f>AS44-AS45</f>
        <v>109.71314457855988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45060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3828.1856088642876</v>
      </c>
      <c r="AH47" s="65">
        <f t="shared" ref="AH47:AI47" si="39">AH44-SUM(AH45)</f>
        <v>136.33810886428256</v>
      </c>
      <c r="AI47" s="66">
        <f t="shared" si="39"/>
        <v>4823.9988588642736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150300</v>
      </c>
      <c r="T48" s="109" t="s">
        <v>151</v>
      </c>
      <c r="U48" s="108"/>
      <c r="V48" s="108"/>
      <c r="W48" s="108"/>
      <c r="X48" s="112">
        <f>SUM(X31,X40)</f>
        <v>6042.8571428571431</v>
      </c>
      <c r="Y48" s="112">
        <f>SUM(Y31,Y40)</f>
        <v>6042.8571428571431</v>
      </c>
      <c r="Z48" s="118">
        <f>SUM(Z31,Z40)</f>
        <v>6042.8571428571431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31103.747775134456</v>
      </c>
      <c r="AH52" s="90">
        <f>AH35-SUM(AH36:AH38,AH42:AH43)</f>
        <v>42660.39777513445</v>
      </c>
      <c r="AI52" s="90">
        <f>AI35-SUM(AI36:AI38,AI42:AI43)</f>
        <v>73675.29277513444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2023-05-14T15:35:00Z</dcterms:modified>
</cp:coreProperties>
</file>