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E3A266A3-D47E-43E6-9ECE-93AEF1E6506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67" i="1" l="1"/>
  <c r="C67" i="1" s="1"/>
  <c r="Q41" i="2"/>
  <c r="Q40" i="2" s="1"/>
  <c r="Q48" i="2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CF29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<sst xmlns="http://schemas.openxmlformats.org/spreadsheetml/2006/main" count="451" uniqueCount="304">
  <si>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</si>
  <si>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</si>
  <si>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</si>
  <si>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</si>
  <si>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</si>
  <si>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</si>
  <si>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</si>
  <si>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</si>
  <si>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</si>
  <si>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</si>
  <si>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</si>
  <si>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</si>
  <si>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</si>
  <si>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</si>
  <si>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</si>
  <si>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</si>
  <si>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</si>
  <si>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</si>
  <si>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</si>
  <si>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</si>
  <si>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</si>
  <si>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</si>
  <si>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</si>
  <si>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</si>
  <si>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</si>
  <si>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</si>
  <si>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</si>
  <si>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</si>
  <si>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</si>
  <si>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</si>
  <si>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</si>
  <si>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</si>
  <si>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</si>
  <si>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</si>
  <si>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</si>
  <si>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</si>
  <si>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</si>
  <si>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</si>
  <si>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</si>
  <si>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</si>
  <si>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</si>
  <si>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</si>
  <si>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</si>
  <si>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</si>
  <si>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</si>
  <si>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</si>
  <si>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</si>
  <si>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</si>
  <si>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</si>
  <si>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</si>
  <si>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</si>
  <si>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</si>
  <si>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</si>
  <si>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</si>
  <si>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</si>
  <si>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</si>
  <si>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</si>
  <si>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</si>
  <si>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</si>
  <si>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</si>
  <si>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</si>
  <si>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</si>
  <si>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</si>
  <si>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</si>
  <si>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</si>
  <si>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</si>
  <si>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</si>
  <si>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</si>
  <si>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</si>
  <si>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</si>
  <si>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</si>
  <si>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</si>
  <si>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</si>
  <si>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</si>
  <si>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</si>
  <si>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</si>
  <si>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</si>
  <si>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</si>
  <si>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</si>
  <si>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</si>
  <si>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</si>
  <si>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</si>
  <si>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</si>
  <si>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</si>
  <si>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</si>
  <si>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</si>
  <si>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</si>
  <si>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</si>
  <si>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</si>
  <si>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</si>
  <si>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</si>
  <si>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</si>
  <si>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</si>
  <si>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</si>
  <si>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</si>
  <si>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</si>
  <si>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</si>
  <si>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</si>
  <si>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</si>
  <si>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</si>
  <si>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</si>
  <si>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</si>
  <si>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</si>
  <si>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</si>
  <si>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</si>
  <si>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</si>
  <si>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</si>
  <si>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</si>
  <si>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</si>
  <si>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</si>
  <si>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</si>
  <si>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</si>
  <si>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</si>
  <si>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</si>
  <si>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</si>
  <si>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</si>
  <si>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</si>
  <si>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</si>
  <si>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</si>
  <si>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</si>
  <si>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</si>
  <si>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</si>
  <si>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</si>
  <si>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</si>
  <si>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</si>
  <si>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</si>
  <si>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</si>
  <si>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</si>
  <si>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</si>
  <si>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</si>
  <si>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</si>
  <si>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</si>
  <si>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</si>
  <si>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</si>
  <si>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</si>
  <si>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</si>
  <si>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</si>
  <si>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</si>
  <si>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</si>
  <si>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</si>
  <si>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</si>
  <si>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</si>
  <si>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</si>
  <si>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</si>
  <si>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</si>
  <si>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</si>
  <si>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</si>
  <si>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</si>
  <si>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</si>
  <si>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</si>
  <si>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</si>
  <si>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</si>
  <si>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</si>
  <si>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</si>
  <si>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</si>
  <si>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</si>
  <si>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</si>
  <si>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</si>
  <si>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</si>
  <si>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</si>
  <si>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</si>
  <si>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</si>
  <si>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</si>
  <si>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</si>
  <si>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</si>
  <si>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</si>
  <si>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</si>
  <si>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</si>
  <si>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</si>
  <si>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</si>
  <si>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</si>
  <si>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</si>
  <si>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</si>
  <si>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</si>
  <si>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</si>
  <si>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</si>
  <si>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</si>
  <si>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</si>
  <si>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</si>
  <si>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</si>
  <si>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</si>
  <si>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</si>
  <si>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</si>
  <si>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</si>
  <si>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</si>
  <si>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</si>
  <si>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</si>
  <si>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</si>
  <si>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</si>
  <si>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</si>
  <si>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</si>
  <si>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</si>
  <si>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</si>
  <si>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</si>
  <si>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</si>
  <si>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</si>
  <si>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</si>
  <si>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</si>
  <si>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</si>
  <si>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</si>
  <si>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</si>
  <si>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</si>
  <si>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</si>
  <si>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</si>
  <si>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</si>
  <si>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</si>
  <si>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</si>
  <si>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</si>
  <si>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</si>
  <si>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</si>
  <si>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</si>
  <si>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</si>
  <si>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</si>
  <si>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</si>
  <si>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</si>
  <si>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</si>
  <si>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</si>
  <si>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</si>
  <si>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</si>
  <si>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</si>
  <si>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</si>
  <si>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</si>
  <si>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</si>
  <si>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</si>
  <si>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</si>
  <si>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</si>
  <si>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</si>
  <si>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</si>
  <si>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</si>
  <si>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</si>
  <si>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</si>
  <si>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</si>
  <si>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</si>
  <si>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</si>
  <si>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</si>
  <si>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</si>
  <si>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</si>
  <si>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</si>
  <si>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</si>
  <si>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</si>
  <si>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</si>
  <si>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</si>
  <si>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</si>
  <si>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</si>
  <si>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</si>
  <si>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</si>
  <si>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</si>
  <si>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</si>
  <si>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</si>
  <si>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</si>
  <si>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</si>
  <si>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</si>
  <si>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</si>
  <si>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</si>
  <si>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</si>
  <si>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</si>
  <si>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</si>
  <si>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</si>
  <si>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</si>
  <si>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</si>
  <si>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</si>
  <si>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</si>
  <si>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</si>
  <si>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</si>
  <si>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</si>
  <si>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</si>
  <si>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</si>
  <si>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</si>
  <si>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</si>
  <si>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</si>
  <si>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</si>
  <si>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</si>
  <si>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</si>
  <si>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</si>
  <si>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</si>
  <si>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</si>
  <si>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</si>
  <si>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</si>
  <si>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</si>
  <si>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</si>
  <si>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</si>
  <si>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</si>
  <si>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</si>
  <si>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</si>
  <si>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</si>
  <si>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</si>
  <si>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</si>
  <si>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</si>
  <si>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</si>
  <si>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</si>
  <si>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</si>
  <si>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</si>
  <si>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</si>
  <si>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</si>
  <si>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</si>
  <si>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</si>
  <si>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</si>
  <si>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</si>
  <si>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</si>
  <si>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</si>
  <si>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Matières et produits refact.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</si>
  <si>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</t>
    </r>
  </si>
  <si>
    <t>Boite de production</t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</si>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</sst>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302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112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92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>
        <v>600</v>
      </c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2500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>
        <v>250</v>
      </c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3000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45000</v>
      </c>
      <c r="C30" s="5" t="s">
        <v>13</v>
      </c>
    </row>
    <row r="31" spans="1:8" x14ac:dyDescent="0.25">
      <c r="A31" s="276" t="s">
        <v>14</v>
      </c>
      <c r="B31" s="255">
        <v>7000</v>
      </c>
      <c r="C31" s="5" t="s">
        <v>15</v>
      </c>
    </row>
    <row r="32" spans="1:8" x14ac:dyDescent="0.25">
      <c r="A32" s="276" t="s">
        <v>16</v>
      </c>
      <c r="B32" s="255">
        <v>2000</v>
      </c>
      <c r="C32" s="5" t="s">
        <v>17</v>
      </c>
    </row>
    <row r="33" spans="1:13" ht="15.25" thickBot="1" x14ac:dyDescent="0.3">
      <c r="A33" s="276" t="s">
        <v>40</v>
      </c>
      <c r="B33" s="255">
        <v>15000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82450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63100</v>
      </c>
      <c r="C39" s="116">
        <f t="shared" ref="C39:C54" si="0">IF(ISERROR($B39/$C$36),0,$B39/$C$36)</f>
        <v>12620</v>
      </c>
      <c r="D39" s="116">
        <f>IF($B39&gt;(SUM(C39:$C39)),IF(ISERROR($B39/$C$36),"",$B39/$C$36),0)</f>
        <v>12620</v>
      </c>
      <c r="E39" s="116">
        <f>IF($B39&gt;(SUM($C39:D39)),IF(ISERROR($B39/$C$36),"",$B39/$C$36),0)</f>
        <v>12620</v>
      </c>
      <c r="F39" s="116">
        <f>IF($B39&gt;(SUM($C39:E39)),IF(ISERROR($B39/$C$36),"",$B39/$C$36),0)</f>
        <v>12620</v>
      </c>
      <c r="G39" s="116">
        <f>IF($B39&gt;(SUM($C39:F39)),IF(ISERROR($B39/$C$36),"",$B39/$C$36),0)</f>
        <v>12620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63100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120</v>
      </c>
      <c r="D40" s="75">
        <f>IF($B40&gt;(SUM(C40:$C40)),IF(ISERROR($B40/$C$36),"",$B40/$C$36),0)</f>
        <v>120</v>
      </c>
      <c r="E40" s="75">
        <f>IF($B40&gt;(SUM($C40:D40)),IF(ISERROR($B40/$C$36),"",$B40/$C$36),0)</f>
        <v>120</v>
      </c>
      <c r="F40" s="75">
        <f>IF($B40&gt;(SUM($C40:E40)),IF(ISERROR($B40/$C$36),"",$B40/$C$36),0)</f>
        <v>120</v>
      </c>
      <c r="G40" s="75">
        <f>IF($B40&gt;(SUM($C40:F40)),IF(ISERROR($B40/$C$36),"",$B40/$C$36),0)</f>
        <v>120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2500</v>
      </c>
      <c r="C42" s="75">
        <f t="shared" si="0"/>
        <v>500</v>
      </c>
      <c r="D42" s="75">
        <f>IF($B42&gt;(SUM(C42:$C42)),IF(ISERROR($B42/$C$36),"",$B42/$C$36),0)</f>
        <v>500</v>
      </c>
      <c r="E42" s="75">
        <f>IF($B42&gt;(SUM($C42:D42)),IF(ISERROR($B42/$C$36),"",$B42/$C$36),0)</f>
        <v>500</v>
      </c>
      <c r="F42" s="75">
        <f>IF($B42&gt;(SUM($C42:E42)),IF(ISERROR($B42/$C$36),"",$B42/$C$36),0)</f>
        <v>500</v>
      </c>
      <c r="G42" s="75">
        <f>IF($B42&gt;(SUM($C42:F42)),IF(ISERROR($B42/$C$36),"",$B42/$C$36),0)</f>
        <v>500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3000</v>
      </c>
      <c r="C50" s="75">
        <f t="shared" si="0"/>
        <v>600</v>
      </c>
      <c r="D50" s="75">
        <f>IF($B50&gt;(SUM(C50:$C50)),IF(ISERROR($B50/$C$36),"",$B50/$C$36),0)</f>
        <v>600</v>
      </c>
      <c r="E50" s="75">
        <f>IF($B50&gt;(SUM($C50:D50)),IF(ISERROR($B50/$C$36),"",$B50/$C$36),0)</f>
        <v>600</v>
      </c>
      <c r="F50" s="75">
        <f>IF($B50&gt;(SUM($C50:E50)),IF(ISERROR($B50/$C$36),"",$B50/$C$36),0)</f>
        <v>600</v>
      </c>
      <c r="G50" s="75">
        <f>IF($B50&gt;(SUM($C50:F50)),IF(ISERROR($B50/$C$36),"",$B50/$C$36),0)</f>
        <v>600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45000</v>
      </c>
      <c r="C53" s="75">
        <f t="shared" si="0"/>
        <v>9000</v>
      </c>
      <c r="D53" s="75">
        <f>IF($B53&gt;(SUM(C53:$C53)),IF(ISERROR($B53/$C$36),"",$B53/$C$36),0)</f>
        <v>9000</v>
      </c>
      <c r="E53" s="75">
        <f>IF($B53&gt;(SUM($C53:D53)),IF(ISERROR($B53/$C$36),"",$B53/$C$36),0)</f>
        <v>9000</v>
      </c>
      <c r="F53" s="75">
        <f>IF($B53&gt;(SUM($C53:E53)),IF(ISERROR($B53/$C$36),"",$B53/$C$36),0)</f>
        <v>9000</v>
      </c>
      <c r="G53" s="75">
        <f>IF($B53&gt;(SUM($C53:F53)),IF(ISERROR($B53/$C$36),"",$B53/$C$36),0)</f>
        <v>9000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7000</v>
      </c>
      <c r="C54" s="75">
        <f t="shared" si="0"/>
        <v>1400</v>
      </c>
      <c r="D54" s="75">
        <f>IF($B54&gt;(SUM(C54:$C54)),IF(ISERROR($B54/$C$36),"",$B54/$C$36),0)</f>
        <v>1400</v>
      </c>
      <c r="E54" s="75">
        <f>IF($B54&gt;(SUM($C54:D54)),IF(ISERROR($B54/$C$36),"",$B54/$C$36),0)</f>
        <v>1400</v>
      </c>
      <c r="F54" s="75">
        <f>IF($B54&gt;(SUM($C54:E54)),IF(ISERROR($B54/$C$36),"",$B54/$C$36),0)</f>
        <v>1400</v>
      </c>
      <c r="G54" s="75">
        <f>IF($B54&gt;(SUM($C54:F54)),IF(ISERROR($B54/$C$36),"",$B54/$C$36),0)</f>
        <v>1400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7000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28000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B34-B59</f>
        <v>54450</v>
      </c>
      <c r="C61" s="257">
        <v>0.04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82450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744.26650502187226</v>
      </c>
      <c r="C70" s="79">
        <f>B70*D61</f>
        <v>62518.386421837269</v>
      </c>
      <c r="D70" s="82">
        <f>IF(ISERROR(B61/D61),0,B61/D61)</f>
        <v>648.21428571428567</v>
      </c>
      <c r="E70" s="152">
        <f>B70-D70</f>
        <v>96.052219307586597</v>
      </c>
      <c r="F70" s="80">
        <f>E70*D61</f>
        <v>8068.3864218372746</v>
      </c>
      <c r="G70" s="153">
        <f>IF($D61&gt;12,$E70*12,$E70*$D61)</f>
        <v>1152.6266316910392</v>
      </c>
      <c r="H70" s="153">
        <f>IF($D61-12&lt;0,0,IF($D61&gt;24,$E70*12,($D61-12)*$E70))</f>
        <v>1152.6266316910392</v>
      </c>
      <c r="I70" s="153">
        <f>IF($D61-24&lt;0,0,IF($D61&gt;36,$E70*12,($D61-24)*$E70))</f>
        <v>1152.6266316910392</v>
      </c>
      <c r="J70" s="153">
        <f>IF($D61&gt;12,$D70*12,$D70*$D61)</f>
        <v>7778.5714285714275</v>
      </c>
      <c r="K70" s="153">
        <f>IF($D61-12&lt;0,0,IF($D61&gt;24,$D70*12,($D61-12)*$D70))</f>
        <v>7778.5714285714275</v>
      </c>
      <c r="L70" s="153">
        <f>IF($D61-24&lt;0,0,IF($D61&gt;36,$D70*12,($D61-24)*$D70))</f>
        <v>7778.5714285714275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1152.6266316910392</v>
      </c>
      <c r="J73" s="203">
        <f t="shared" si="17"/>
        <v>7778.5714285714275</v>
      </c>
      <c r="K73" s="203">
        <f t="shared" si="17"/>
        <v>7778.5714285714275</v>
      </c>
      <c r="L73" s="203">
        <f t="shared" si="17"/>
        <v>7778.5714285714275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630</v>
      </c>
      <c r="D77" s="261">
        <v>660</v>
      </c>
    </row>
    <row r="78" spans="1:12" ht="15.1" customHeight="1" x14ac:dyDescent="0.25">
      <c r="A78" s="276" t="s">
        <v>21</v>
      </c>
      <c r="B78" s="259">
        <v>900</v>
      </c>
      <c r="C78" s="260">
        <v>920</v>
      </c>
      <c r="D78" s="261">
        <v>950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220</v>
      </c>
      <c r="D79" s="261">
        <v>230</v>
      </c>
      <c r="G79" s="233"/>
      <c r="H79" s="233"/>
    </row>
    <row r="80" spans="1:12" ht="15.1" customHeight="1" x14ac:dyDescent="0.25">
      <c r="A80" s="276" t="s">
        <v>261</v>
      </c>
      <c r="B80" s="259">
        <v>3800</v>
      </c>
      <c r="C80" s="260">
        <v>4000</v>
      </c>
      <c r="D80" s="261">
        <v>4300</v>
      </c>
      <c r="G80" s="233"/>
      <c r="H80" s="233"/>
    </row>
    <row r="81" spans="1:8" ht="15.1" customHeight="1" x14ac:dyDescent="0.25">
      <c r="A81" s="276" t="s">
        <v>22</v>
      </c>
      <c r="B81" s="259">
        <v>3000</v>
      </c>
      <c r="C81" s="260">
        <v>4000</v>
      </c>
      <c r="D81" s="261">
        <v>5000</v>
      </c>
      <c r="G81" s="233"/>
      <c r="H81" s="233"/>
    </row>
    <row r="82" spans="1:8" ht="15.1" customHeight="1" x14ac:dyDescent="0.25">
      <c r="A82" s="276" t="s">
        <v>5</v>
      </c>
      <c r="B82" s="259">
        <v>2300</v>
      </c>
      <c r="C82" s="260">
        <v>2600</v>
      </c>
      <c r="D82" s="261">
        <v>3000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3600</v>
      </c>
      <c r="D84" s="261">
        <v>3700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800</v>
      </c>
      <c r="C85" s="260">
        <v>850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500</v>
      </c>
      <c r="C86" s="260">
        <v>550</v>
      </c>
      <c r="D86" s="261">
        <v>600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4000</v>
      </c>
      <c r="D87" s="261">
        <v>5000</v>
      </c>
      <c r="E87" s="5"/>
      <c r="G87" s="233"/>
      <c r="H87" s="233"/>
    </row>
    <row r="88" spans="1:8" x14ac:dyDescent="0.25">
      <c r="A88" s="276" t="s">
        <v>29</v>
      </c>
      <c r="B88" s="259">
        <v>18000</v>
      </c>
      <c r="C88" s="260">
        <v>18200</v>
      </c>
      <c r="D88" s="261">
        <v>18400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3300</v>
      </c>
      <c r="E89" s="5"/>
    </row>
    <row r="90" spans="1:8" x14ac:dyDescent="0.25">
      <c r="A90" s="276" t="s">
        <v>31</v>
      </c>
      <c r="B90" s="259">
        <v>600</v>
      </c>
      <c r="C90" s="260">
        <v>650</v>
      </c>
      <c r="D90" s="261">
        <v>680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303</v>
      </c>
      <c r="B93" s="259">
        <v>1000</v>
      </c>
      <c r="C93" s="260">
        <v>1500</v>
      </c>
      <c r="D93" s="261">
        <v>2000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42400</v>
      </c>
      <c r="C97" s="10">
        <f>SUM(C77:C95)</f>
        <v>46640</v>
      </c>
      <c r="D97" s="10">
        <f>SUM(D77:D95)</f>
        <v>50560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/>
      <c r="C103" s="255"/>
      <c r="D103" s="12">
        <f>B103*C103</f>
        <v>0</v>
      </c>
      <c r="F103" s="281" t="s">
        <v>208</v>
      </c>
      <c r="G103" s="262">
        <v>22</v>
      </c>
      <c r="H103" s="255">
        <v>250</v>
      </c>
      <c r="I103" s="12">
        <f>G103*H103</f>
        <v>5500</v>
      </c>
    </row>
    <row r="104" spans="1:9" x14ac:dyDescent="0.25">
      <c r="A104" s="279" t="s">
        <v>209</v>
      </c>
      <c r="B104" s="262"/>
      <c r="C104" s="255"/>
      <c r="D104" s="12">
        <f t="shared" ref="D104:D114" si="18">B104*C104</f>
        <v>0</v>
      </c>
      <c r="F104" s="282" t="s">
        <v>209</v>
      </c>
      <c r="G104" s="262">
        <v>20</v>
      </c>
      <c r="H104" s="255">
        <v>250</v>
      </c>
      <c r="I104" s="12">
        <f t="shared" ref="I104:I114" si="19">G104*H104</f>
        <v>5000</v>
      </c>
    </row>
    <row r="105" spans="1:9" x14ac:dyDescent="0.25">
      <c r="A105" s="279" t="s">
        <v>210</v>
      </c>
      <c r="B105" s="262"/>
      <c r="C105" s="255"/>
      <c r="D105" s="12">
        <f t="shared" si="18"/>
        <v>0</v>
      </c>
      <c r="F105" s="282" t="s">
        <v>210</v>
      </c>
      <c r="G105" s="262">
        <v>22</v>
      </c>
      <c r="H105" s="255">
        <v>250</v>
      </c>
      <c r="I105" s="12">
        <f t="shared" si="19"/>
        <v>5500</v>
      </c>
    </row>
    <row r="106" spans="1:9" x14ac:dyDescent="0.25">
      <c r="A106" s="279" t="s">
        <v>215</v>
      </c>
      <c r="B106" s="262"/>
      <c r="C106" s="255"/>
      <c r="D106" s="12">
        <f t="shared" si="18"/>
        <v>0</v>
      </c>
      <c r="F106" s="282" t="s">
        <v>215</v>
      </c>
      <c r="G106" s="262">
        <v>22</v>
      </c>
      <c r="H106" s="255">
        <v>300</v>
      </c>
      <c r="I106" s="12">
        <f t="shared" si="19"/>
        <v>6600</v>
      </c>
    </row>
    <row r="107" spans="1:9" x14ac:dyDescent="0.25">
      <c r="A107" s="279" t="s">
        <v>217</v>
      </c>
      <c r="B107" s="262"/>
      <c r="C107" s="255"/>
      <c r="D107" s="12">
        <f t="shared" si="18"/>
        <v>0</v>
      </c>
      <c r="F107" s="282" t="s">
        <v>217</v>
      </c>
      <c r="G107" s="262">
        <v>22</v>
      </c>
      <c r="H107" s="255">
        <v>300</v>
      </c>
      <c r="I107" s="12">
        <f t="shared" si="19"/>
        <v>6600</v>
      </c>
    </row>
    <row r="108" spans="1:9" x14ac:dyDescent="0.25">
      <c r="A108" s="279" t="s">
        <v>218</v>
      </c>
      <c r="B108" s="262"/>
      <c r="C108" s="255"/>
      <c r="D108" s="12">
        <f t="shared" si="18"/>
        <v>0</v>
      </c>
      <c r="F108" s="282" t="s">
        <v>218</v>
      </c>
      <c r="G108" s="262">
        <v>22</v>
      </c>
      <c r="H108" s="255">
        <v>400</v>
      </c>
      <c r="I108" s="12">
        <f t="shared" si="19"/>
        <v>8800</v>
      </c>
    </row>
    <row r="109" spans="1:9" x14ac:dyDescent="0.25">
      <c r="A109" s="279" t="s">
        <v>219</v>
      </c>
      <c r="B109" s="262"/>
      <c r="C109" s="255"/>
      <c r="D109" s="12">
        <f t="shared" si="18"/>
        <v>0</v>
      </c>
      <c r="F109" s="282" t="s">
        <v>219</v>
      </c>
      <c r="G109" s="262">
        <v>15</v>
      </c>
      <c r="H109" s="255">
        <v>400</v>
      </c>
      <c r="I109" s="12">
        <f t="shared" si="19"/>
        <v>6000</v>
      </c>
    </row>
    <row r="110" spans="1:9" x14ac:dyDescent="0.25">
      <c r="A110" s="279" t="s">
        <v>220</v>
      </c>
      <c r="B110" s="262"/>
      <c r="C110" s="255"/>
      <c r="D110" s="12">
        <f t="shared" si="18"/>
        <v>0</v>
      </c>
      <c r="F110" s="282" t="s">
        <v>220</v>
      </c>
      <c r="G110" s="262">
        <v>10</v>
      </c>
      <c r="H110" s="255">
        <v>500</v>
      </c>
      <c r="I110" s="12">
        <f t="shared" si="19"/>
        <v>5000</v>
      </c>
    </row>
    <row r="111" spans="1:9" x14ac:dyDescent="0.25">
      <c r="A111" s="279" t="s">
        <v>221</v>
      </c>
      <c r="B111" s="262"/>
      <c r="C111" s="255"/>
      <c r="D111" s="12">
        <f t="shared" si="18"/>
        <v>0</v>
      </c>
      <c r="F111" s="282" t="s">
        <v>221</v>
      </c>
      <c r="G111" s="262">
        <v>22</v>
      </c>
      <c r="H111" s="255">
        <v>500</v>
      </c>
      <c r="I111" s="12">
        <f t="shared" si="19"/>
        <v>11000</v>
      </c>
    </row>
    <row r="112" spans="1:9" x14ac:dyDescent="0.25">
      <c r="A112" s="279" t="s">
        <v>222</v>
      </c>
      <c r="B112" s="262"/>
      <c r="C112" s="255"/>
      <c r="D112" s="12">
        <f t="shared" si="18"/>
        <v>0</v>
      </c>
      <c r="F112" s="282" t="s">
        <v>222</v>
      </c>
      <c r="G112" s="262">
        <v>22</v>
      </c>
      <c r="H112" s="255">
        <v>500</v>
      </c>
      <c r="I112" s="12">
        <f t="shared" si="19"/>
        <v>11000</v>
      </c>
    </row>
    <row r="113" spans="1:9" x14ac:dyDescent="0.25">
      <c r="A113" s="279" t="s">
        <v>223</v>
      </c>
      <c r="B113" s="262"/>
      <c r="C113" s="255"/>
      <c r="D113" s="12">
        <f t="shared" si="18"/>
        <v>0</v>
      </c>
      <c r="F113" s="282" t="s">
        <v>223</v>
      </c>
      <c r="G113" s="262">
        <v>22</v>
      </c>
      <c r="H113" s="255">
        <v>700</v>
      </c>
      <c r="I113" s="12">
        <f t="shared" si="19"/>
        <v>15400</v>
      </c>
    </row>
    <row r="114" spans="1:9" ht="15.25" thickBot="1" x14ac:dyDescent="0.3">
      <c r="A114" s="279" t="s">
        <v>224</v>
      </c>
      <c r="B114" s="262"/>
      <c r="C114" s="255"/>
      <c r="D114" s="12">
        <f t="shared" si="18"/>
        <v>0</v>
      </c>
      <c r="F114" s="282" t="s">
        <v>224</v>
      </c>
      <c r="G114" s="262">
        <v>18</v>
      </c>
      <c r="H114" s="255">
        <v>700</v>
      </c>
      <c r="I114" s="12">
        <f t="shared" si="19"/>
        <v>12600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99000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1.2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0.7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/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v>8000</v>
      </c>
      <c r="C133" s="260">
        <v>45000</v>
      </c>
      <c r="D133" s="261">
        <v>105000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20000</v>
      </c>
      <c r="C134" s="260">
        <v>35000</v>
      </c>
      <c r="D134" s="261">
        <v>60000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5760</v>
      </c>
      <c r="C139" s="73">
        <f>C133*0.72</f>
        <v>32400</v>
      </c>
      <c r="D139" s="73">
        <f>D133*0.72</f>
        <v>75600</v>
      </c>
      <c r="F139" t="s">
        <v>90</v>
      </c>
      <c r="G139" s="245">
        <f>B133*0.72</f>
        <v>5760</v>
      </c>
      <c r="H139" s="246">
        <f>C133*0.72</f>
        <v>32400</v>
      </c>
      <c r="I139" s="73">
        <f>D133*0.72</f>
        <v>75600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21680.999999999996</v>
      </c>
      <c r="C141" s="71">
        <f>+'Plan financier à imprimer'!AH12*21.9%</f>
        <v>47698.2</v>
      </c>
      <c r="D141" s="71">
        <f>+'Plan financier à imprimer'!AI12*21.9%</f>
        <v>81086.939999999988</v>
      </c>
      <c r="E141" s="93" t="s">
        <v>131</v>
      </c>
      <c r="F141" t="s">
        <v>1</v>
      </c>
      <c r="G141" s="245">
        <f>+'Plan financier à imprimer'!AG12*11%</f>
        <v>10890</v>
      </c>
      <c r="H141" s="247">
        <f>+'Plan financier à imprimer'!AH12*21.9%</f>
        <v>47698.2</v>
      </c>
      <c r="I141" s="71">
        <f>+'Plan financier à imprimer'!AI12*21.9%</f>
        <v>81086.939999999988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8720.2120104926871</v>
      </c>
      <c r="C142" s="71">
        <f>IF('Plan financier à imprimer'!AH52*30%&lt;3456,3456,'Plan financier à imprimer'!AH52*30%)</f>
        <v>23996.212010492691</v>
      </c>
      <c r="D142" s="71">
        <f>IF('Plan financier à imprimer'!AI52*30%&lt;3456,3456,'Plan financier à imprimer'!AI52*30%)</f>
        <v>37598.212010492687</v>
      </c>
      <c r="F142" t="s">
        <v>110</v>
      </c>
      <c r="G142" s="245">
        <v>1305</v>
      </c>
      <c r="H142" s="248">
        <f>IF('Plan financier à imprimer'!AH52*32%&lt;3456,3456,'Plan financier à imprimer'!AH52*32%)</f>
        <v>25595.959477858869</v>
      </c>
      <c r="I142" s="72">
        <f>IF('Plan financier à imprimer'!AI52*32%&lt;3456,3456,'Plan financier à imprimer'!AI52*32%)</f>
        <v>40104.759477858868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15750</v>
      </c>
      <c r="D143" s="71">
        <f>IF(D134*45%&lt;3456,3456,D134*45%)</f>
        <v>27000</v>
      </c>
      <c r="F143" t="s">
        <v>109</v>
      </c>
      <c r="G143" s="245">
        <v>1305</v>
      </c>
      <c r="H143" s="248">
        <f>IF(C134*45%&lt;3456,3456,C134*45%)</f>
        <v>15750</v>
      </c>
      <c r="I143" s="72">
        <f>IF(D134*45%&lt;3456,3456,D134*45%)</f>
        <v>27000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15750</v>
      </c>
      <c r="D144" s="71">
        <f>IF(D134*45%&lt;3456,3456,D134*45%)</f>
        <v>27000</v>
      </c>
      <c r="F144" t="s">
        <v>111</v>
      </c>
      <c r="G144" s="245">
        <v>1305</v>
      </c>
      <c r="H144" s="248">
        <f>IF(C134*45%&lt;3456,3456,C134*45%)</f>
        <v>15750</v>
      </c>
      <c r="I144" s="72">
        <f>IF(D134*45%&lt;3456,3456,D134*45%)</f>
        <v>27000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24500</v>
      </c>
      <c r="D145" s="71">
        <f t="shared" si="20"/>
        <v>42000</v>
      </c>
      <c r="F145" t="s">
        <v>112</v>
      </c>
      <c r="G145" s="245">
        <f>B134*33%</f>
        <v>6600</v>
      </c>
      <c r="H145" s="245">
        <f>C134*70%</f>
        <v>24500</v>
      </c>
      <c r="I145" s="245">
        <f>D134*70%</f>
        <v>42000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24500</v>
      </c>
      <c r="D146" s="71">
        <f t="shared" si="21"/>
        <v>42000</v>
      </c>
      <c r="F146" t="s">
        <v>113</v>
      </c>
      <c r="G146" s="245">
        <f>B134*33%</f>
        <v>6600</v>
      </c>
      <c r="H146" s="245">
        <f>C134*70%</f>
        <v>24500</v>
      </c>
      <c r="I146" s="245">
        <f>D134*70%</f>
        <v>42000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24500</v>
      </c>
      <c r="D147" s="73">
        <f>SUMIF($A$140:$A$146,$B$8,D140:D146)</f>
        <v>42000</v>
      </c>
      <c r="F147" s="1" t="s">
        <v>108</v>
      </c>
      <c r="G147" s="245">
        <f>SUMIF($A$140:$A$146,$B$8,G140:G146)</f>
        <v>6600</v>
      </c>
      <c r="H147" s="246">
        <f>SUMIF($A$140:$A$146,$B$8,H140:H146)</f>
        <v>24500</v>
      </c>
      <c r="I147" s="246">
        <f>SUMIF($A$140:$A$146,$B$8,I140:I146)</f>
        <v>42000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uvaykt2NeS+a9JqHIaZQ5YtZ61jGPxngMWbh3f/oEcXx55PBqn+mO2w6PJMsUyiFBDNGXUlfFsJNCAueumVQQ==" saltValue="3IuiAnAyp+dH8jlzzoItj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Boite de production</v>
      </c>
      <c r="T6" s="1" t="s">
        <v>68</v>
      </c>
      <c r="V6" s="3" t="str">
        <f>IF(ISBLANK('Données à saisir'!$B7),"",('Données à saisir'!$B7))</f>
        <v>Boite de production</v>
      </c>
      <c r="AC6" s="1" t="s">
        <v>68</v>
      </c>
      <c r="AE6" s="3" t="str">
        <f>IF(ISBLANK('Données à saisir'!$B7),"",('Données à saisir'!$B7))</f>
        <v>Boite de production</v>
      </c>
      <c r="AL6" s="1" t="s">
        <v>68</v>
      </c>
      <c r="AN6" s="3" t="str">
        <f>IF(ISBLANK('Données à saisir'!$B7),"",('Données à saisir'!$B7))</f>
        <v>Boite de production</v>
      </c>
      <c r="AW6" s="1" t="s">
        <v>68</v>
      </c>
      <c r="AY6" s="3" t="str">
        <f>IF(ISBLANK('Données à saisir'!$B7),"",('Données à saisir'!$B7))</f>
        <v>Boite de production</v>
      </c>
      <c r="BF6" s="1" t="s">
        <v>68</v>
      </c>
      <c r="BH6" s="3" t="str">
        <f>IF(ISBLANK('Données à saisir'!$B7),"",('Données à saisir'!$B7))</f>
        <v>Boite de production</v>
      </c>
      <c r="BO6" s="1" t="s">
        <v>68</v>
      </c>
      <c r="BQ6" s="3" t="str">
        <f>IF(ISBLANK('Données à saisir'!$B7),"",('Données à saisir'!$B7))</f>
        <v>Boite de production</v>
      </c>
      <c r="BV6" s="193" t="s">
        <v>214</v>
      </c>
      <c r="BY6" s="1" t="s">
        <v>68</v>
      </c>
      <c r="CA6" s="3" t="str">
        <f>IF(ISBLANK('Données à saisir'!$B7),"",('Données à saisir'!$B7))</f>
        <v>Boite de production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SAS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99000</v>
      </c>
      <c r="AH10" s="60">
        <f t="shared" ref="AH10:AI10" si="0">SUM(AH11:AH12)</f>
        <v>217800</v>
      </c>
      <c r="AI10" s="226">
        <f t="shared" si="0"/>
        <v>370260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99000</v>
      </c>
      <c r="BB11" s="60">
        <f>AH10</f>
        <v>217800</v>
      </c>
      <c r="BC11" s="226">
        <f>AI10</f>
        <v>370260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6450</v>
      </c>
      <c r="AC12" s="44" t="s">
        <v>122</v>
      </c>
      <c r="AG12" s="62">
        <f>'Données à saisir'!I115</f>
        <v>99000</v>
      </c>
      <c r="AH12" s="62">
        <f>AG12+AG12*'Données à saisir'!I117</f>
        <v>217800</v>
      </c>
      <c r="AI12" s="54">
        <f>AH12+AH12*'Données à saisir'!I118</f>
        <v>370260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99000</v>
      </c>
      <c r="AP13" s="139">
        <v>1</v>
      </c>
      <c r="AQ13" s="119">
        <f>AH10</f>
        <v>217800</v>
      </c>
      <c r="AR13" s="140">
        <v>1</v>
      </c>
      <c r="AS13" s="119">
        <f>AI10</f>
        <v>370260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600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99000</v>
      </c>
      <c r="AP14" s="142">
        <v>1</v>
      </c>
      <c r="AQ14" s="104">
        <f>AH10</f>
        <v>217800</v>
      </c>
      <c r="AR14" s="143">
        <v>1</v>
      </c>
      <c r="AS14" s="104">
        <f>AI10</f>
        <v>370260</v>
      </c>
      <c r="AT14" s="144">
        <v>1</v>
      </c>
      <c r="AW14" s="123" t="s">
        <v>176</v>
      </c>
      <c r="BA14" s="57">
        <f>BA11-BA13</f>
        <v>99000</v>
      </c>
      <c r="BB14" s="57">
        <f t="shared" ref="BB14:BC14" si="2">BB11-BB13</f>
        <v>217800</v>
      </c>
      <c r="BC14" s="53">
        <f t="shared" si="2"/>
        <v>370260</v>
      </c>
      <c r="BF14" s="186" t="s">
        <v>199</v>
      </c>
      <c r="BG14" s="52"/>
      <c r="BH14" s="52"/>
      <c r="BI14" s="52"/>
      <c r="BJ14" s="187">
        <f>Q12+Q23</f>
        <v>65450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2500</v>
      </c>
      <c r="T15" s="51" t="s">
        <v>143</v>
      </c>
      <c r="U15" s="52"/>
      <c r="V15" s="52"/>
      <c r="W15" s="52"/>
      <c r="X15" s="60">
        <f>'Données à saisir'!B134</f>
        <v>20000</v>
      </c>
      <c r="Y15" s="60">
        <f>'Données à saisir'!C134</f>
        <v>35000</v>
      </c>
      <c r="Z15" s="61">
        <f>'Données à saisir'!D134</f>
        <v>60000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>
        <f>Q30</f>
        <v>2000</v>
      </c>
      <c r="BK15" s="104"/>
      <c r="BL15" s="120"/>
      <c r="BO15" s="192" t="s">
        <v>200</v>
      </c>
      <c r="BP15" s="52"/>
      <c r="BQ15" s="52"/>
      <c r="BR15" s="187">
        <f>BJ19</f>
        <v>28000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28000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>
        <f>IF(ISBLANK('Données à saisir'!B20),"",'Données à saisir'!B20)</f>
        <v>250</v>
      </c>
      <c r="T16" s="44"/>
      <c r="U16" s="3" t="s">
        <v>140</v>
      </c>
      <c r="X16" s="62"/>
      <c r="Y16" s="102">
        <f>IF(ISERROR((Y15-X15)/X15),"",(Y15-X15)/X15)</f>
        <v>0.75</v>
      </c>
      <c r="Z16" s="103">
        <f>IF(ISERROR((Z15-Y15)/Y15),"",(Z15-Y15)/Y15)</f>
        <v>0.7142857142857143</v>
      </c>
      <c r="AC16" s="63" t="s">
        <v>125</v>
      </c>
      <c r="AD16" s="64"/>
      <c r="AE16" s="64"/>
      <c r="AF16" s="64"/>
      <c r="AG16" s="65">
        <f>AG10-AG13</f>
        <v>99000</v>
      </c>
      <c r="AH16" s="65">
        <f>AH10-AH13</f>
        <v>217800</v>
      </c>
      <c r="AI16" s="66">
        <f>AI10-AI13</f>
        <v>370260</v>
      </c>
      <c r="AL16" s="63" t="s">
        <v>154</v>
      </c>
      <c r="AM16" s="64"/>
      <c r="AN16" s="64"/>
      <c r="AO16" s="65">
        <f>AO14-AO15</f>
        <v>99000</v>
      </c>
      <c r="AP16" s="147">
        <f t="shared" ref="AP16:AP28" si="5">AO16/$AO$14</f>
        <v>1</v>
      </c>
      <c r="AQ16" s="65">
        <f t="shared" ref="AQ16:AS16" si="6">AQ14-AQ15</f>
        <v>217800</v>
      </c>
      <c r="AR16" s="148">
        <f t="shared" ref="AR16:AR28" si="7">AQ16/$AQ$14</f>
        <v>1</v>
      </c>
      <c r="AS16" s="65">
        <f t="shared" si="6"/>
        <v>370260</v>
      </c>
      <c r="AT16" s="150">
        <f t="shared" ref="AT16:AT28" si="8">AS16/$AS$14</f>
        <v>1</v>
      </c>
      <c r="AW16" s="123" t="s">
        <v>177</v>
      </c>
      <c r="BA16" s="104">
        <f>SUM(AO17,AO19,AO20,AO22,AO24)</f>
        <v>96532.626631691033</v>
      </c>
      <c r="BB16" s="104">
        <f>SUM(AQ17,AQ19,AQ20,AQ22,AQ24)</f>
        <v>197312.62663169103</v>
      </c>
      <c r="BC16" s="159">
        <f>SUM(AS17,AS19,AS20,AS22,AS24)</f>
        <v>346932.62663169106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54450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54450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6600</v>
      </c>
      <c r="Y17" s="57">
        <f>AH40</f>
        <v>24500</v>
      </c>
      <c r="Z17" s="53">
        <f>AI40</f>
        <v>42000</v>
      </c>
      <c r="AC17" s="37" t="s">
        <v>126</v>
      </c>
      <c r="AG17" s="57">
        <f>SUM(AG18:AG33)</f>
        <v>41800</v>
      </c>
      <c r="AH17" s="57">
        <f>SUM(AH18:AH33)</f>
        <v>44990</v>
      </c>
      <c r="AI17" s="68">
        <f>SUM(AI18:AI33)</f>
        <v>48780</v>
      </c>
      <c r="AL17" s="70" t="s">
        <v>81</v>
      </c>
      <c r="AO17" s="104">
        <f>AG17</f>
        <v>41800</v>
      </c>
      <c r="AP17" s="145">
        <f t="shared" si="5"/>
        <v>0.42222222222222222</v>
      </c>
      <c r="AQ17" s="104">
        <f>AH17</f>
        <v>44990</v>
      </c>
      <c r="AR17" s="149">
        <f t="shared" si="7"/>
        <v>0.20656565656565656</v>
      </c>
      <c r="AS17" s="104">
        <f>AI17</f>
        <v>48780</v>
      </c>
      <c r="AT17" s="146">
        <f t="shared" si="8"/>
        <v>0.13174526008750609</v>
      </c>
      <c r="AW17" s="63" t="s">
        <v>194</v>
      </c>
      <c r="AX17" s="64"/>
      <c r="AY17" s="64"/>
      <c r="AZ17" s="64"/>
      <c r="BA17" s="65">
        <f>BA12+BA16</f>
        <v>96532.626631691033</v>
      </c>
      <c r="BB17" s="65">
        <f t="shared" ref="BB17:BC17" si="9">BB12+BB16</f>
        <v>197312.62663169103</v>
      </c>
      <c r="BC17" s="66">
        <f t="shared" si="9"/>
        <v>346932.62663169106</v>
      </c>
      <c r="BF17" s="123" t="s">
        <v>198</v>
      </c>
      <c r="BJ17" s="104">
        <f>AO45</f>
        <v>7778.5714285714275</v>
      </c>
      <c r="BK17" s="104">
        <f>AQ45</f>
        <v>7778.5714285714275</v>
      </c>
      <c r="BL17" s="120">
        <f>AS45</f>
        <v>7778.5714285714275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630</v>
      </c>
      <c r="AI18" s="54">
        <f>IF(ISBLANK('Données à saisir'!D77),0,'Données à saisir'!D77)</f>
        <v>660</v>
      </c>
      <c r="AL18" s="63" t="s">
        <v>127</v>
      </c>
      <c r="AM18" s="64"/>
      <c r="AN18" s="64"/>
      <c r="AO18" s="65">
        <f>AO16-AO17</f>
        <v>57200</v>
      </c>
      <c r="AP18" s="147">
        <f t="shared" si="5"/>
        <v>0.57777777777777772</v>
      </c>
      <c r="AQ18" s="65">
        <f t="shared" ref="AQ18:AS18" si="10">AQ16-AQ17</f>
        <v>172810</v>
      </c>
      <c r="AR18" s="148">
        <f t="shared" si="7"/>
        <v>0.79343434343434338</v>
      </c>
      <c r="AS18" s="65">
        <f t="shared" si="10"/>
        <v>321480</v>
      </c>
      <c r="AT18" s="150">
        <f t="shared" si="8"/>
        <v>0.86825473991249391</v>
      </c>
      <c r="AW18" s="123" t="s">
        <v>178</v>
      </c>
      <c r="BA18" s="104">
        <f>AG44</f>
        <v>2467.3733683089613</v>
      </c>
      <c r="BB18" s="104">
        <f>AH44</f>
        <v>20487.373368308959</v>
      </c>
      <c r="BC18" s="159">
        <f>AI44</f>
        <v>23327.373368308959</v>
      </c>
      <c r="BF18" s="63" t="s">
        <v>196</v>
      </c>
      <c r="BG18" s="64"/>
      <c r="BH18" s="64"/>
      <c r="BI18" s="64"/>
      <c r="BJ18" s="188">
        <f>SUM(BJ14:BJ17)</f>
        <v>75228.57142857142</v>
      </c>
      <c r="BK18" s="189">
        <f>SUM(BK14:BK17)</f>
        <v>7778.5714285714275</v>
      </c>
      <c r="BL18" s="190">
        <f>SUM(BL14:BL17)</f>
        <v>7778.5714285714275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8000</v>
      </c>
      <c r="Y19" s="60">
        <f>'Données à saisir'!C133</f>
        <v>45000</v>
      </c>
      <c r="Z19" s="61">
        <f>'Données à saisir'!D133</f>
        <v>105000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920</v>
      </c>
      <c r="AI19" s="54">
        <f>IF(ISBLANK('Données à saisir'!D78),0,'Données à saisir'!D78)</f>
        <v>950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4.5913682277318639E-3</v>
      </c>
      <c r="AS19" s="104">
        <f>AI36</f>
        <v>1100</v>
      </c>
      <c r="AT19" s="146">
        <f t="shared" si="8"/>
        <v>2.9708853238265003E-3</v>
      </c>
      <c r="AW19" s="63" t="s">
        <v>195</v>
      </c>
      <c r="AX19" s="64"/>
      <c r="AY19" s="64"/>
      <c r="AZ19" s="64"/>
      <c r="BA19" s="65">
        <f>IF(ISERROR(BA16/BA15),0,BA16/BA15)</f>
        <v>96532.626631691033</v>
      </c>
      <c r="BB19" s="65">
        <f t="shared" ref="BB19:BC19" si="11">IF(ISERROR(BB16/BB15),0,BB16/BB15)</f>
        <v>197312.62663169103</v>
      </c>
      <c r="BC19" s="66">
        <f t="shared" si="11"/>
        <v>346932.62663169106</v>
      </c>
      <c r="BF19" s="123" t="s">
        <v>200</v>
      </c>
      <c r="BJ19" s="104">
        <f>Q37</f>
        <v>28000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>
        <f>IF(ISERROR((Y19-X19)/X19),"",(Y19-X19)/X19)</f>
        <v>4.625</v>
      </c>
      <c r="Z20" s="103">
        <f>IF(ISERROR((Z19-Y19)/Y19),"",(Z19-Y19)/Y19)</f>
        <v>1.3333333333333333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220</v>
      </c>
      <c r="AI20" s="54">
        <f>IF(ISBLANK('Données à saisir'!D79),0,'Données à saisir'!D79)</f>
        <v>230</v>
      </c>
      <c r="AL20" s="38" t="s">
        <v>153</v>
      </c>
      <c r="AM20" s="1"/>
      <c r="AN20" s="1"/>
      <c r="AO20" s="104">
        <f>SUM(AG37:AG40)</f>
        <v>40360</v>
      </c>
      <c r="AP20" s="145">
        <f t="shared" si="5"/>
        <v>0.40767676767676769</v>
      </c>
      <c r="AQ20" s="104">
        <f>SUM(AH37:AH40)</f>
        <v>136900</v>
      </c>
      <c r="AR20" s="149">
        <f t="shared" si="7"/>
        <v>0.62855831037649224</v>
      </c>
      <c r="AS20" s="104">
        <f>SUM(AI37:AI40)</f>
        <v>282600</v>
      </c>
      <c r="AT20" s="146">
        <f t="shared" si="8"/>
        <v>0.76324744773942632</v>
      </c>
      <c r="AW20" s="123" t="s">
        <v>179</v>
      </c>
      <c r="BA20" s="104">
        <f>BA11-BA19</f>
        <v>2467.3733683089667</v>
      </c>
      <c r="BB20" s="104">
        <f t="shared" ref="BB20:BC20" si="12">BB11-BB19</f>
        <v>20487.373368308967</v>
      </c>
      <c r="BC20" s="120">
        <f t="shared" si="12"/>
        <v>23327.373368308938</v>
      </c>
      <c r="BF20" s="123" t="s">
        <v>201</v>
      </c>
      <c r="BJ20" s="104">
        <f>Q40</f>
        <v>54450</v>
      </c>
      <c r="BK20" s="104"/>
      <c r="BL20" s="159"/>
      <c r="BO20" s="123" t="s">
        <v>212</v>
      </c>
      <c r="BR20" s="104">
        <f>'Données à saisir'!I103</f>
        <v>5500</v>
      </c>
      <c r="BS20" s="104">
        <f>'Données à saisir'!I104</f>
        <v>5000</v>
      </c>
      <c r="BT20" s="104">
        <f>'Données à saisir'!I105</f>
        <v>5500</v>
      </c>
      <c r="BU20" s="104">
        <f>'Données à saisir'!I106</f>
        <v>6600</v>
      </c>
      <c r="BV20" s="159">
        <f>'Données à saisir'!I107</f>
        <v>6600</v>
      </c>
      <c r="BY20" s="196">
        <f>'Données à saisir'!I108</f>
        <v>8800</v>
      </c>
      <c r="BZ20" s="104">
        <f>'Données à saisir'!I109</f>
        <v>6000</v>
      </c>
      <c r="CA20" s="104">
        <f>'Données à saisir'!I110</f>
        <v>5000</v>
      </c>
      <c r="CB20" s="104">
        <f>'Données à saisir'!I111</f>
        <v>11000</v>
      </c>
      <c r="CC20" s="104">
        <f>'Données à saisir'!I112</f>
        <v>11000</v>
      </c>
      <c r="CD20" s="104">
        <f>'Données à saisir'!I113</f>
        <v>15400</v>
      </c>
      <c r="CE20" s="132">
        <f>'Données à saisir'!I114</f>
        <v>12600</v>
      </c>
      <c r="CF20" s="201">
        <f t="shared" ref="CF20:CF24" si="13">SUM(BR20:CE20)</f>
        <v>99000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5760</v>
      </c>
      <c r="Y21" s="57">
        <f>'Données à saisir'!C139</f>
        <v>32400</v>
      </c>
      <c r="Z21" s="53">
        <f>'Données à saisir'!D139</f>
        <v>75600</v>
      </c>
      <c r="AC21" s="44" t="str">
        <f>'Données à saisir'!A80</f>
        <v>Carburant, transports</v>
      </c>
      <c r="AG21" s="62">
        <f>IF(ISBLANK('Données à saisir'!B80),0,'Données à saisir'!B80)</f>
        <v>3800</v>
      </c>
      <c r="AH21" s="62">
        <f>IF(ISBLANK('Données à saisir'!C80),0,'Données à saisir'!C80)</f>
        <v>4000</v>
      </c>
      <c r="AI21" s="54">
        <f>IF(ISBLANK('Données à saisir'!D80),0,'Données à saisir'!D80)</f>
        <v>4300</v>
      </c>
      <c r="AL21" s="63" t="s">
        <v>128</v>
      </c>
      <c r="AM21" s="64"/>
      <c r="AN21" s="64"/>
      <c r="AO21" s="65">
        <f>AO18-AO19-AO20</f>
        <v>16840</v>
      </c>
      <c r="AP21" s="147">
        <f t="shared" si="5"/>
        <v>0.17010101010101011</v>
      </c>
      <c r="AQ21" s="65">
        <f t="shared" ref="AQ21:AS21" si="14">AQ18-AQ19-AQ20</f>
        <v>34910</v>
      </c>
      <c r="AR21" s="148">
        <f t="shared" si="7"/>
        <v>0.16028466483011938</v>
      </c>
      <c r="AS21" s="65">
        <f t="shared" si="14"/>
        <v>37780</v>
      </c>
      <c r="AT21" s="150">
        <f t="shared" si="8"/>
        <v>0.10203640684924108</v>
      </c>
      <c r="AW21" s="208" t="s">
        <v>180</v>
      </c>
      <c r="AX21" s="36"/>
      <c r="AY21" s="36"/>
      <c r="AZ21" s="36"/>
      <c r="BA21" s="156">
        <f>BA19/250</f>
        <v>386.13050652676412</v>
      </c>
      <c r="BB21" s="156">
        <f t="shared" ref="BB21:BC21" si="15">BB19/250</f>
        <v>789.25050652676418</v>
      </c>
      <c r="BC21" s="157">
        <f t="shared" si="15"/>
        <v>1387.7305065267642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5500</v>
      </c>
      <c r="BS21" s="65">
        <f t="shared" ref="BS21:BV21" si="16">SUM(BS19:BS20)</f>
        <v>5000</v>
      </c>
      <c r="BT21" s="65">
        <f t="shared" si="16"/>
        <v>5500</v>
      </c>
      <c r="BU21" s="65">
        <f t="shared" si="16"/>
        <v>6600</v>
      </c>
      <c r="BV21" s="66">
        <f t="shared" si="16"/>
        <v>6600</v>
      </c>
      <c r="BY21" s="197">
        <f t="shared" ref="BY21:CE21" si="17">SUM(BY19:BY20)</f>
        <v>8800</v>
      </c>
      <c r="BZ21" s="65">
        <f t="shared" si="17"/>
        <v>6000</v>
      </c>
      <c r="CA21" s="65">
        <f t="shared" si="17"/>
        <v>5000</v>
      </c>
      <c r="CB21" s="65">
        <f t="shared" si="17"/>
        <v>11000</v>
      </c>
      <c r="CC21" s="65">
        <f t="shared" si="17"/>
        <v>11000</v>
      </c>
      <c r="CD21" s="65">
        <f t="shared" si="17"/>
        <v>15400</v>
      </c>
      <c r="CE21" s="131">
        <f t="shared" si="17"/>
        <v>12600</v>
      </c>
      <c r="CF21" s="200">
        <f t="shared" si="13"/>
        <v>99000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3000</v>
      </c>
      <c r="AH22" s="62">
        <f>IF(ISBLANK('Données à saisir'!C81),0,'Données à saisir'!C81)</f>
        <v>4000</v>
      </c>
      <c r="AI22" s="54">
        <f>IF(ISBLANK('Données à saisir'!D81),0,'Données à saisir'!D81)</f>
        <v>5000</v>
      </c>
      <c r="AL22" s="38" t="s">
        <v>155</v>
      </c>
      <c r="AO22" s="104">
        <f>AG43</f>
        <v>12620</v>
      </c>
      <c r="AP22" s="145">
        <f t="shared" si="5"/>
        <v>0.12747474747474746</v>
      </c>
      <c r="AQ22" s="104">
        <f>AH43</f>
        <v>12620</v>
      </c>
      <c r="AR22" s="149">
        <f t="shared" si="7"/>
        <v>5.7943067033976128E-2</v>
      </c>
      <c r="AS22" s="104">
        <f>AI43</f>
        <v>12620</v>
      </c>
      <c r="AT22" s="146">
        <f t="shared" si="8"/>
        <v>3.4084157078809484E-2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6450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6450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59000</v>
      </c>
      <c r="AC23" s="44" t="str">
        <f>'Données à saisir'!A82</f>
        <v>Eau, électricité, gaz</v>
      </c>
      <c r="AG23" s="62">
        <f>IF(ISBLANK('Données à saisir'!B82),0,'Données à saisir'!B82)</f>
        <v>2300</v>
      </c>
      <c r="AH23" s="62">
        <f>IF(ISBLANK('Données à saisir'!C82),0,'Données à saisir'!C82)</f>
        <v>2600</v>
      </c>
      <c r="AI23" s="54">
        <f>IF(ISBLANK('Données à saisir'!D82),0,'Données à saisir'!D82)</f>
        <v>3000</v>
      </c>
      <c r="AL23" s="63" t="s">
        <v>156</v>
      </c>
      <c r="AM23" s="64"/>
      <c r="AN23" s="64"/>
      <c r="AO23" s="65">
        <f>AO21-AO22</f>
        <v>4220</v>
      </c>
      <c r="AP23" s="147">
        <f t="shared" si="5"/>
        <v>4.2626262626262623E-2</v>
      </c>
      <c r="AQ23" s="65">
        <f t="shared" ref="AQ23:AS23" si="18">AQ21-AQ22</f>
        <v>22290</v>
      </c>
      <c r="AR23" s="148">
        <f t="shared" si="7"/>
        <v>0.10234159779614325</v>
      </c>
      <c r="AS23" s="65">
        <f t="shared" si="18"/>
        <v>25160</v>
      </c>
      <c r="AT23" s="150">
        <f t="shared" si="8"/>
        <v>6.7952249770431586E-2</v>
      </c>
      <c r="AW23" s="4"/>
      <c r="BA23" s="99"/>
      <c r="BB23" s="99"/>
      <c r="BC23" s="99"/>
      <c r="BF23" s="123" t="s">
        <v>204</v>
      </c>
      <c r="BJ23" s="104">
        <f>AO44</f>
        <v>14717.267363062616</v>
      </c>
      <c r="BK23" s="104">
        <f>AQ44</f>
        <v>30034.267363062616</v>
      </c>
      <c r="BL23" s="159">
        <f>AS44</f>
        <v>32448.267363062616</v>
      </c>
      <c r="BO23" s="123" t="s">
        <v>70</v>
      </c>
      <c r="BR23" s="104">
        <f>Q23</f>
        <v>59000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59000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3000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1752.6266316910392</v>
      </c>
      <c r="AP24" s="145">
        <f t="shared" si="5"/>
        <v>1.7703299310010495E-2</v>
      </c>
      <c r="AQ24" s="104">
        <f>AH42</f>
        <v>1802.6266316910392</v>
      </c>
      <c r="AR24" s="149">
        <f t="shared" si="7"/>
        <v>8.2765226432095461E-3</v>
      </c>
      <c r="AS24" s="104">
        <f>AI42</f>
        <v>1832.6266316910392</v>
      </c>
      <c r="AT24" s="146">
        <f t="shared" si="8"/>
        <v>4.9495668764950014E-3</v>
      </c>
      <c r="BF24" s="63" t="s">
        <v>205</v>
      </c>
      <c r="BG24" s="64"/>
      <c r="BH24" s="64"/>
      <c r="BI24" s="64"/>
      <c r="BJ24" s="65">
        <f>SUM(BJ19:BJ23)</f>
        <v>97167.267363062623</v>
      </c>
      <c r="BK24" s="65">
        <f>SUM(BK19:BK23)</f>
        <v>30034.267363062616</v>
      </c>
      <c r="BL24" s="66">
        <f>SUM(BL19:BL23)</f>
        <v>32448.267363062616</v>
      </c>
      <c r="BO24" s="63" t="s">
        <v>225</v>
      </c>
      <c r="BP24" s="64"/>
      <c r="BQ24" s="64"/>
      <c r="BR24" s="65">
        <f>SUM(BR22:BR23)</f>
        <v>65450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65450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3600</v>
      </c>
      <c r="AI25" s="54">
        <f>IF(ISBLANK('Données à saisir'!D84),0,'Données à saisir'!D84)</f>
        <v>3700</v>
      </c>
      <c r="AL25" s="38" t="s">
        <v>157</v>
      </c>
      <c r="AM25" s="1"/>
      <c r="AN25" s="1"/>
      <c r="AO25" s="104">
        <f>AO24*-1</f>
        <v>-1752.6266316910392</v>
      </c>
      <c r="AP25" s="145">
        <f t="shared" si="5"/>
        <v>-1.7703299310010495E-2</v>
      </c>
      <c r="AQ25" s="104">
        <f t="shared" ref="AQ25:AS25" si="19">AQ24*-1</f>
        <v>-1802.6266316910392</v>
      </c>
      <c r="AR25" s="149">
        <f t="shared" si="7"/>
        <v>-8.2765226432095461E-3</v>
      </c>
      <c r="AS25" s="104">
        <f t="shared" si="19"/>
        <v>-1832.6266316910392</v>
      </c>
      <c r="AT25" s="146">
        <f t="shared" si="8"/>
        <v>-4.9495668764950014E-3</v>
      </c>
      <c r="BA25" s="90"/>
      <c r="BF25" s="123" t="s">
        <v>206</v>
      </c>
      <c r="BJ25" s="104">
        <f>BJ24-BJ18</f>
        <v>21938.695934491203</v>
      </c>
      <c r="BK25" s="104">
        <f>BK24-BK18</f>
        <v>22255.695934491188</v>
      </c>
      <c r="BL25" s="120">
        <f>BL24-BL18</f>
        <v>24669.695934491188</v>
      </c>
      <c r="BO25" s="123" t="s">
        <v>259</v>
      </c>
      <c r="BR25" s="104">
        <f>Q30</f>
        <v>2000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2467.3733683089608</v>
      </c>
      <c r="AP26" s="147">
        <f t="shared" si="5"/>
        <v>2.4922963316252128E-2</v>
      </c>
      <c r="AQ26" s="65">
        <f t="shared" ref="AQ26:AS26" si="21">AQ23+AQ25</f>
        <v>20487.373368308959</v>
      </c>
      <c r="AR26" s="148">
        <f t="shared" si="7"/>
        <v>9.4065075152933691E-2</v>
      </c>
      <c r="AS26" s="65">
        <f t="shared" si="21"/>
        <v>23327.373368308959</v>
      </c>
      <c r="AT26" s="150">
        <f t="shared" si="8"/>
        <v>6.3002682893936582E-2</v>
      </c>
      <c r="BF26" s="63" t="s">
        <v>260</v>
      </c>
      <c r="BG26" s="64"/>
      <c r="BH26" s="64"/>
      <c r="BI26" s="64"/>
      <c r="BJ26" s="65">
        <f>BJ25</f>
        <v>21938.695934491203</v>
      </c>
      <c r="BK26" s="65">
        <f>BJ26+BK25</f>
        <v>44194.391868982391</v>
      </c>
      <c r="BL26" s="66">
        <f>+BK26+BL25</f>
        <v>68864.08780347358</v>
      </c>
      <c r="BO26" s="123" t="s">
        <v>226</v>
      </c>
      <c r="BR26" s="104">
        <f>IF(ISERROR('Données à saisir'!$J$73/12),0,'Données à saisir'!$J$73/12)</f>
        <v>648.21428571428567</v>
      </c>
      <c r="BS26" s="104">
        <f>IF(ISERROR('Données à saisir'!$J$73/12),0,'Données à saisir'!$J$73/12)</f>
        <v>648.21428571428567</v>
      </c>
      <c r="BT26" s="104">
        <f>IF(ISERROR('Données à saisir'!$J$73/12),0,'Données à saisir'!$J$73/12)</f>
        <v>648.21428571428567</v>
      </c>
      <c r="BU26" s="104">
        <f>IF(ISERROR('Données à saisir'!$J$73/12),0,'Données à saisir'!$J$73/12)</f>
        <v>648.21428571428567</v>
      </c>
      <c r="BV26" s="120">
        <f>IF(ISERROR('Données à saisir'!$J$73/12),0,'Données à saisir'!$J$73/12)</f>
        <v>648.21428571428567</v>
      </c>
      <c r="BY26" s="196">
        <f>IF(ISERROR('Données à saisir'!$J$73/12),0,'Données à saisir'!$J$73/12)</f>
        <v>648.21428571428567</v>
      </c>
      <c r="BZ26" s="104">
        <f>IF(ISERROR('Données à saisir'!$J$73/12),0,'Données à saisir'!$J$73/12)</f>
        <v>648.21428571428567</v>
      </c>
      <c r="CA26" s="104">
        <f>IF(ISERROR('Données à saisir'!$J$73/12),0,'Données à saisir'!$J$73/12)</f>
        <v>648.21428571428567</v>
      </c>
      <c r="CB26" s="104">
        <f>IF(ISERROR('Données à saisir'!$J$73/12),0,'Données à saisir'!$J$73/12)</f>
        <v>648.21428571428567</v>
      </c>
      <c r="CC26" s="104">
        <f>IF(ISERROR('Données à saisir'!$J$73/12),0,'Données à saisir'!$J$73/12)</f>
        <v>648.21428571428567</v>
      </c>
      <c r="CD26" s="104">
        <f>IF(ISERROR('Données à saisir'!$J$73/12),0,'Données à saisir'!$J$73/12)</f>
        <v>648.21428571428567</v>
      </c>
      <c r="CE26" s="132">
        <f>IF(ISERROR('Données à saisir'!$J$73/12),0,'Données à saisir'!$J$73/12)</f>
        <v>648.21428571428567</v>
      </c>
      <c r="CF26" s="201">
        <f t="shared" si="20"/>
        <v>7778.5714285714266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500</v>
      </c>
      <c r="AH27" s="62">
        <f>IF(ISBLANK('Données à saisir'!C86),0,'Données à saisir'!C86)</f>
        <v>550</v>
      </c>
      <c r="AI27" s="54">
        <f>IF(ISBLANK('Données à saisir'!D86),0,'Données à saisir'!D86)</f>
        <v>600</v>
      </c>
      <c r="AL27" s="63" t="s">
        <v>160</v>
      </c>
      <c r="AM27" s="64"/>
      <c r="AN27" s="64"/>
      <c r="AO27" s="65">
        <f>IF(ISERROR(AO26-AG45),AO26,(AO26-AG45))</f>
        <v>2097.2673630626168</v>
      </c>
      <c r="AP27" s="147">
        <f t="shared" si="5"/>
        <v>2.1184518818814311E-2</v>
      </c>
      <c r="AQ27" s="65">
        <f>IF(ISERROR(AQ26-AH45),AQ26,(AQ26-AH45))</f>
        <v>17414.267363062616</v>
      </c>
      <c r="AR27" s="148">
        <f t="shared" si="7"/>
        <v>7.9955313879993647E-2</v>
      </c>
      <c r="AS27" s="65">
        <f>IF(ISERROR(AS26-AI45),AS26,(AS26-AI45))</f>
        <v>19828.267363062616</v>
      </c>
      <c r="AT27" s="150">
        <f t="shared" si="8"/>
        <v>5.3552280459846099E-2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Boite de production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7000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4000</v>
      </c>
      <c r="AI28" s="54">
        <f>IF(ISBLANK('Données à saisir'!D87),0,'Données à saisir'!D87)</f>
        <v>5000</v>
      </c>
      <c r="AL28" s="38" t="s">
        <v>158</v>
      </c>
      <c r="AM28" s="1"/>
      <c r="AN28" s="1"/>
      <c r="AO28" s="104">
        <f>AO27+AO22</f>
        <v>14717.267363062616</v>
      </c>
      <c r="AP28" s="145">
        <f t="shared" si="5"/>
        <v>0.14865926629356177</v>
      </c>
      <c r="AQ28" s="104">
        <f t="shared" ref="AQ28:AS28" si="22">AQ27+AQ22</f>
        <v>30034.267363062616</v>
      </c>
      <c r="AR28" s="149">
        <f t="shared" si="7"/>
        <v>0.13789838091396978</v>
      </c>
      <c r="AS28" s="104">
        <f t="shared" si="22"/>
        <v>32448.267363062616</v>
      </c>
      <c r="AT28" s="151">
        <f t="shared" si="8"/>
        <v>8.7636437538655576E-2</v>
      </c>
      <c r="BF28" s="92" t="s">
        <v>256</v>
      </c>
      <c r="BI28" s="338">
        <f>Q31</f>
        <v>15000</v>
      </c>
      <c r="BJ28" s="338"/>
      <c r="BO28" s="123" t="s">
        <v>81</v>
      </c>
      <c r="BR28" s="104">
        <f>$AG$17/12</f>
        <v>3483.3333333333335</v>
      </c>
      <c r="BS28" s="104">
        <f t="shared" ref="BS28:CE28" si="23">$AG$17/12</f>
        <v>3483.3333333333335</v>
      </c>
      <c r="BT28" s="104">
        <f t="shared" si="23"/>
        <v>3483.3333333333335</v>
      </c>
      <c r="BU28" s="104">
        <f t="shared" si="23"/>
        <v>3483.3333333333335</v>
      </c>
      <c r="BV28" s="120">
        <f t="shared" si="23"/>
        <v>3483.3333333333335</v>
      </c>
      <c r="BY28" s="196">
        <f t="shared" si="23"/>
        <v>3483.3333333333335</v>
      </c>
      <c r="BZ28" s="104">
        <f t="shared" si="23"/>
        <v>3483.3333333333335</v>
      </c>
      <c r="CA28" s="104">
        <f t="shared" si="23"/>
        <v>3483.3333333333335</v>
      </c>
      <c r="CB28" s="104">
        <f t="shared" si="23"/>
        <v>3483.3333333333335</v>
      </c>
      <c r="CC28" s="104">
        <f t="shared" si="23"/>
        <v>3483.3333333333335</v>
      </c>
      <c r="CD28" s="104">
        <f t="shared" si="23"/>
        <v>3483.3333333333335</v>
      </c>
      <c r="CE28" s="132">
        <f t="shared" si="23"/>
        <v>3483.3333333333335</v>
      </c>
      <c r="CF28" s="201">
        <f t="shared" si="20"/>
        <v>41800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18000</v>
      </c>
      <c r="AH29" s="62">
        <f>IF(ISBLANK('Données à saisir'!C88),0,'Données à saisir'!C88)</f>
        <v>18200</v>
      </c>
      <c r="AI29" s="54">
        <f>IF(ISBLANK('Données à saisir'!D88),0,'Données à saisir'!D88)</f>
        <v>18400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3300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666.66666666666663</v>
      </c>
      <c r="BS30" s="119">
        <f t="shared" si="24"/>
        <v>666.66666666666663</v>
      </c>
      <c r="BT30" s="119">
        <f t="shared" si="24"/>
        <v>666.66666666666663</v>
      </c>
      <c r="BU30" s="119">
        <f t="shared" si="24"/>
        <v>666.66666666666663</v>
      </c>
      <c r="BV30" s="209">
        <f t="shared" si="24"/>
        <v>666.66666666666663</v>
      </c>
      <c r="BY30" s="210">
        <f t="shared" si="25"/>
        <v>666.66666666666663</v>
      </c>
      <c r="BZ30" s="119">
        <f t="shared" si="25"/>
        <v>666.66666666666663</v>
      </c>
      <c r="CA30" s="119">
        <f t="shared" si="25"/>
        <v>666.66666666666663</v>
      </c>
      <c r="CB30" s="119">
        <f t="shared" si="25"/>
        <v>666.66666666666663</v>
      </c>
      <c r="CC30" s="119">
        <f t="shared" si="25"/>
        <v>666.66666666666663</v>
      </c>
      <c r="CD30" s="119">
        <f t="shared" si="25"/>
        <v>666.66666666666663</v>
      </c>
      <c r="CE30" s="211">
        <f t="shared" si="25"/>
        <v>666.66666666666663</v>
      </c>
      <c r="CF30" s="213">
        <f t="shared" si="20"/>
        <v>8000.0000000000009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15000</v>
      </c>
      <c r="T31" s="107" t="s">
        <v>147</v>
      </c>
      <c r="U31" s="34"/>
      <c r="V31" s="34"/>
      <c r="W31" s="34"/>
      <c r="X31" s="110">
        <f>SUM(X33:X39)</f>
        <v>820</v>
      </c>
      <c r="Y31" s="110">
        <f>SUM(Y33:Y39)</f>
        <v>820</v>
      </c>
      <c r="Z31" s="111">
        <f>SUM(Z33:Z39)</f>
        <v>820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1000</v>
      </c>
      <c r="AH31" s="62">
        <f>IF(ISBLANK('Données à saisir'!C93),0,'Données à saisir'!C93)</f>
        <v>1500</v>
      </c>
      <c r="AI31" s="69">
        <f>IF(ISBLANK('Données à saisir'!D93),0,'Données à saisir'!D93)</f>
        <v>2000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480</v>
      </c>
      <c r="BS31" s="104">
        <f t="shared" si="24"/>
        <v>480</v>
      </c>
      <c r="BT31" s="104">
        <f t="shared" si="24"/>
        <v>480</v>
      </c>
      <c r="BU31" s="104">
        <f t="shared" si="24"/>
        <v>480</v>
      </c>
      <c r="BV31" s="120">
        <f t="shared" si="24"/>
        <v>480</v>
      </c>
      <c r="BY31" s="196">
        <f t="shared" si="25"/>
        <v>480</v>
      </c>
      <c r="BZ31" s="104">
        <f t="shared" si="25"/>
        <v>480</v>
      </c>
      <c r="CA31" s="104">
        <f t="shared" si="25"/>
        <v>480</v>
      </c>
      <c r="CB31" s="104">
        <f t="shared" si="25"/>
        <v>480</v>
      </c>
      <c r="CC31" s="104">
        <f t="shared" si="25"/>
        <v>480</v>
      </c>
      <c r="CD31" s="104">
        <f t="shared" si="25"/>
        <v>480</v>
      </c>
      <c r="CE31" s="132">
        <f t="shared" si="25"/>
        <v>480</v>
      </c>
      <c r="CF31" s="201">
        <f t="shared" si="20"/>
        <v>5760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82450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120</v>
      </c>
      <c r="Y33" s="113">
        <f>'Données à saisir'!D40</f>
        <v>120</v>
      </c>
      <c r="Z33" s="236">
        <f>'Données à saisir'!E40</f>
        <v>120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500</v>
      </c>
      <c r="Y34" s="113">
        <f>'Données à saisir'!D42</f>
        <v>500</v>
      </c>
      <c r="Z34" s="236">
        <f>'Données à saisir'!E42</f>
        <v>500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3363.333333333333</v>
      </c>
      <c r="BS34" s="65">
        <f t="shared" ref="BS34:CE34" si="27">SUM(BS30:BS33)</f>
        <v>3363.333333333333</v>
      </c>
      <c r="BT34" s="65">
        <f t="shared" si="27"/>
        <v>3363.333333333333</v>
      </c>
      <c r="BU34" s="65">
        <f t="shared" si="27"/>
        <v>3363.333333333333</v>
      </c>
      <c r="BV34" s="66">
        <f t="shared" si="27"/>
        <v>3363.333333333333</v>
      </c>
      <c r="BY34" s="197">
        <f t="shared" si="27"/>
        <v>3363.333333333333</v>
      </c>
      <c r="BZ34" s="65">
        <f t="shared" si="27"/>
        <v>3363.333333333333</v>
      </c>
      <c r="CA34" s="65">
        <f t="shared" si="27"/>
        <v>3363.333333333333</v>
      </c>
      <c r="CB34" s="65">
        <f t="shared" si="27"/>
        <v>3363.333333333333</v>
      </c>
      <c r="CC34" s="65">
        <f t="shared" si="27"/>
        <v>3363.333333333333</v>
      </c>
      <c r="CD34" s="65">
        <f t="shared" si="27"/>
        <v>3363.333333333333</v>
      </c>
      <c r="CE34" s="131">
        <f t="shared" si="27"/>
        <v>3363.333333333333</v>
      </c>
      <c r="CF34" s="200">
        <f t="shared" si="20"/>
        <v>40360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57200</v>
      </c>
      <c r="AH35" s="65">
        <f>AH16-AH17</f>
        <v>172810</v>
      </c>
      <c r="AI35" s="66">
        <f>AI16-AI17</f>
        <v>321480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146.0522193075866</v>
      </c>
      <c r="BS35" s="104">
        <f>$AG42/12</f>
        <v>146.0522193075866</v>
      </c>
      <c r="BT35" s="104">
        <f>$AG42/12</f>
        <v>146.0522193075866</v>
      </c>
      <c r="BU35" s="104">
        <f>$AG42/12</f>
        <v>146.0522193075866</v>
      </c>
      <c r="BV35" s="120">
        <f>$AG42/12</f>
        <v>146.0522193075866</v>
      </c>
      <c r="BY35" s="196">
        <f t="shared" ref="BY35:CE35" si="28">$AG42/12</f>
        <v>146.0522193075866</v>
      </c>
      <c r="BZ35" s="104">
        <f t="shared" si="28"/>
        <v>146.0522193075866</v>
      </c>
      <c r="CA35" s="104">
        <f t="shared" si="28"/>
        <v>146.0522193075866</v>
      </c>
      <c r="CB35" s="104">
        <f t="shared" si="28"/>
        <v>146.0522193075866</v>
      </c>
      <c r="CC35" s="104">
        <f t="shared" si="28"/>
        <v>146.0522193075866</v>
      </c>
      <c r="CD35" s="104">
        <f t="shared" si="28"/>
        <v>146.0522193075866</v>
      </c>
      <c r="CE35" s="132">
        <f t="shared" si="28"/>
        <v>146.0522193075866</v>
      </c>
      <c r="CF35" s="201">
        <f t="shared" si="20"/>
        <v>1752.6266316910396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75090.933171688535</v>
      </c>
      <c r="BS36" s="65">
        <f>SUM(BS24:BS29,BS34:BS35)</f>
        <v>7640.933171688539</v>
      </c>
      <c r="BT36" s="65">
        <f>SUM(BT24:BT29,BT34:BT35)</f>
        <v>7640.933171688539</v>
      </c>
      <c r="BU36" s="65">
        <f>SUM(BU24:BU29,BU34:BU35)</f>
        <v>7640.933171688539</v>
      </c>
      <c r="BV36" s="66">
        <f>SUM(BV24:BV29,BV34:BV35)</f>
        <v>7640.933171688539</v>
      </c>
      <c r="BY36" s="197">
        <f t="shared" ref="BY36:CE36" si="29">SUM(BY24:BY29,BY34:BY35)</f>
        <v>7640.933171688539</v>
      </c>
      <c r="BZ36" s="65">
        <f t="shared" si="29"/>
        <v>7640.933171688539</v>
      </c>
      <c r="CA36" s="65">
        <f t="shared" si="29"/>
        <v>7640.933171688539</v>
      </c>
      <c r="CB36" s="65">
        <f t="shared" si="29"/>
        <v>7640.933171688539</v>
      </c>
      <c r="CC36" s="65">
        <f t="shared" si="29"/>
        <v>7640.933171688539</v>
      </c>
      <c r="CD36" s="65">
        <f t="shared" si="29"/>
        <v>7640.933171688539</v>
      </c>
      <c r="CE36" s="131">
        <f t="shared" si="29"/>
        <v>7640.933171688539</v>
      </c>
      <c r="CF36" s="200">
        <f t="shared" si="20"/>
        <v>159141.19806026248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28000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8000</v>
      </c>
      <c r="AH37" s="57">
        <f>'Données à saisir'!C133</f>
        <v>45000</v>
      </c>
      <c r="AI37" s="53">
        <f>'Données à saisir'!D133</f>
        <v>105000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87950</v>
      </c>
      <c r="BS37" s="65">
        <f>SUM(BS15:BS20)</f>
        <v>5000</v>
      </c>
      <c r="BT37" s="65">
        <f>SUM(BT15:BT20)</f>
        <v>5500</v>
      </c>
      <c r="BU37" s="65">
        <f>SUM(BU15:BU20)</f>
        <v>6600</v>
      </c>
      <c r="BV37" s="66">
        <f>SUM(BV15:BV20)</f>
        <v>6600</v>
      </c>
      <c r="BY37" s="197">
        <f t="shared" ref="BY37:CE37" si="30">SUM(BY15:BY20)</f>
        <v>8800</v>
      </c>
      <c r="BZ37" s="65">
        <f t="shared" si="30"/>
        <v>6000</v>
      </c>
      <c r="CA37" s="65">
        <f t="shared" si="30"/>
        <v>5000</v>
      </c>
      <c r="CB37" s="65">
        <f t="shared" si="30"/>
        <v>11000</v>
      </c>
      <c r="CC37" s="65">
        <f t="shared" si="30"/>
        <v>11000</v>
      </c>
      <c r="CD37" s="65">
        <f t="shared" si="30"/>
        <v>15400</v>
      </c>
      <c r="CE37" s="131">
        <f t="shared" si="30"/>
        <v>12600</v>
      </c>
      <c r="CF37" s="200">
        <f t="shared" ref="CF37" si="31">SUM(BR37:CE37)</f>
        <v>181450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28000</v>
      </c>
      <c r="T38" s="44"/>
      <c r="X38" s="113"/>
      <c r="Y38" s="113"/>
      <c r="Z38" s="236"/>
      <c r="AC38" s="123" t="s">
        <v>24</v>
      </c>
      <c r="AG38" s="104">
        <f>'Données à saisir'!B139</f>
        <v>5760</v>
      </c>
      <c r="AH38" s="104">
        <f>'Données à saisir'!C139</f>
        <v>32400</v>
      </c>
      <c r="AI38" s="120">
        <f>'Données à saisir'!D139</f>
        <v>75600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12859.066828311465</v>
      </c>
      <c r="BT38" s="104">
        <f>BS40</f>
        <v>10218.133656622926</v>
      </c>
      <c r="BU38" s="104">
        <f>BT40</f>
        <v>8077.2004849343866</v>
      </c>
      <c r="BV38" s="159">
        <f>BU40</f>
        <v>7036.2673132458476</v>
      </c>
      <c r="BY38" s="196">
        <f>BV40</f>
        <v>5995.3341415573086</v>
      </c>
      <c r="BZ38" s="104">
        <f t="shared" ref="BZ38:CE38" si="32">BY40</f>
        <v>7154.4009698687696</v>
      </c>
      <c r="CA38" s="104">
        <f t="shared" si="32"/>
        <v>5513.4677981802306</v>
      </c>
      <c r="CB38" s="104">
        <f t="shared" si="32"/>
        <v>2872.5346264916916</v>
      </c>
      <c r="CC38" s="104">
        <f t="shared" si="32"/>
        <v>6231.6014548031526</v>
      </c>
      <c r="CD38" s="104">
        <f t="shared" si="32"/>
        <v>9590.6682831146136</v>
      </c>
      <c r="CE38" s="132">
        <f t="shared" si="32"/>
        <v>17349.735111426075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35000</v>
      </c>
      <c r="AI39" s="53">
        <f>'Données à saisir'!D134</f>
        <v>60000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12859.066828311465</v>
      </c>
      <c r="BS39" s="57">
        <f t="shared" ref="BS39:CE39" si="33">BS37-BS36</f>
        <v>-2640.933171688539</v>
      </c>
      <c r="BT39" s="57">
        <f t="shared" si="33"/>
        <v>-2140.933171688539</v>
      </c>
      <c r="BU39" s="57">
        <f t="shared" si="33"/>
        <v>-1040.933171688539</v>
      </c>
      <c r="BV39" s="68">
        <f t="shared" si="33"/>
        <v>-1040.933171688539</v>
      </c>
      <c r="BW39" s="1"/>
      <c r="BX39" s="1"/>
      <c r="BY39" s="215">
        <f t="shared" si="33"/>
        <v>1159.066828311461</v>
      </c>
      <c r="BZ39" s="57">
        <f t="shared" si="33"/>
        <v>-1640.933171688539</v>
      </c>
      <c r="CA39" s="57">
        <f t="shared" si="33"/>
        <v>-2640.933171688539</v>
      </c>
      <c r="CB39" s="57">
        <f t="shared" si="33"/>
        <v>3359.066828311461</v>
      </c>
      <c r="CC39" s="57">
        <f t="shared" si="33"/>
        <v>3359.066828311461</v>
      </c>
      <c r="CD39" s="57">
        <f t="shared" si="33"/>
        <v>7759.066828311461</v>
      </c>
      <c r="CE39" s="74">
        <f t="shared" si="33"/>
        <v>4959.066828311461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54450</v>
      </c>
      <c r="T40" s="107" t="s">
        <v>148</v>
      </c>
      <c r="U40" s="34"/>
      <c r="V40" s="34"/>
      <c r="W40" s="34"/>
      <c r="X40" s="110">
        <f>SUM(X42:X46)</f>
        <v>11800</v>
      </c>
      <c r="Y40" s="110">
        <f>SUM(Y42:Y46)</f>
        <v>11800</v>
      </c>
      <c r="Z40" s="237">
        <f>SUM(Z42:Z46)</f>
        <v>11800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24500</v>
      </c>
      <c r="AI40" s="120">
        <f>IF('Données à saisir'!C136="Oui",'Données à saisir'!I147,'Données à saisir'!D147)</f>
        <v>42000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12859.066828311465</v>
      </c>
      <c r="BS40" s="65">
        <f>BS38+BS39</f>
        <v>10218.133656622926</v>
      </c>
      <c r="BT40" s="65">
        <f>BT38+BT39</f>
        <v>8077.2004849343866</v>
      </c>
      <c r="BU40" s="65">
        <f>BU38+BU39</f>
        <v>7036.2673132458476</v>
      </c>
      <c r="BV40" s="66">
        <f t="shared" ref="BV40:CE40" si="34">BV38+BV39</f>
        <v>5995.3341415573086</v>
      </c>
      <c r="BY40" s="197">
        <f t="shared" si="34"/>
        <v>7154.4009698687696</v>
      </c>
      <c r="BZ40" s="65">
        <f t="shared" si="34"/>
        <v>5513.4677981802306</v>
      </c>
      <c r="CA40" s="65">
        <f t="shared" si="34"/>
        <v>2872.5346264916916</v>
      </c>
      <c r="CB40" s="65">
        <f t="shared" si="34"/>
        <v>6231.6014548031526</v>
      </c>
      <c r="CC40" s="65">
        <f t="shared" si="34"/>
        <v>9590.6682831146136</v>
      </c>
      <c r="CD40" s="65">
        <f t="shared" si="34"/>
        <v>17349.735111426075</v>
      </c>
      <c r="CE40" s="131">
        <f t="shared" si="34"/>
        <v>22308.801939737536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54450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16840</v>
      </c>
      <c r="AH41" s="65">
        <f t="shared" ref="AH41:AI41" si="35">AH35-SUM(AH36:AH40)</f>
        <v>34910</v>
      </c>
      <c r="AI41" s="66">
        <f t="shared" si="35"/>
        <v>37780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600</v>
      </c>
      <c r="Y42" s="113">
        <f>'Données à saisir'!D50</f>
        <v>600</v>
      </c>
      <c r="Z42" s="236">
        <f>'Données à saisir'!E50</f>
        <v>600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1752.6266316910392</v>
      </c>
      <c r="AH42" s="57">
        <f>'Données à saisir'!C90+SUM('Données à saisir'!H70:H72)</f>
        <v>1802.6266316910392</v>
      </c>
      <c r="AI42" s="53">
        <f>'Données à saisir'!D90+SUM('Données à saisir'!I70:I72)</f>
        <v>1832.6266316910392</v>
      </c>
      <c r="AL42" s="63" t="s">
        <v>160</v>
      </c>
      <c r="AM42" s="64"/>
      <c r="AN42" s="64"/>
      <c r="AO42" s="131">
        <f>AO27</f>
        <v>2097.2673630626168</v>
      </c>
      <c r="AP42" s="136"/>
      <c r="AQ42" s="131">
        <f>AQ27</f>
        <v>17414.267363062616</v>
      </c>
      <c r="AR42" s="136"/>
      <c r="AS42" s="128">
        <f>AS27</f>
        <v>19828.267363062616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12620</v>
      </c>
      <c r="AH43" s="57">
        <f>'Données à saisir'!D39</f>
        <v>12620</v>
      </c>
      <c r="AI43" s="53">
        <f>'Données à saisir'!E39</f>
        <v>12620</v>
      </c>
      <c r="AL43" s="122" t="s">
        <v>161</v>
      </c>
      <c r="AM43" s="1"/>
      <c r="AN43" s="1"/>
      <c r="AO43" s="132">
        <f>AO22</f>
        <v>12620</v>
      </c>
      <c r="AP43" s="137"/>
      <c r="AQ43" s="132">
        <f>AQ22</f>
        <v>12620</v>
      </c>
      <c r="AR43" s="137"/>
      <c r="AS43" s="127">
        <f>AS22</f>
        <v>12620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129</v>
      </c>
      <c r="AD44" s="64"/>
      <c r="AE44" s="64"/>
      <c r="AF44" s="64"/>
      <c r="AG44" s="65">
        <f>AG41-AG42-AG43</f>
        <v>2467.3733683089613</v>
      </c>
      <c r="AH44" s="65">
        <f t="shared" ref="AH44:AI44" si="37">AH41-AH42-AH43</f>
        <v>20487.373368308959</v>
      </c>
      <c r="AI44" s="66">
        <f t="shared" si="37"/>
        <v>23327.373368308959</v>
      </c>
      <c r="AL44" s="63" t="s">
        <v>158</v>
      </c>
      <c r="AM44" s="64"/>
      <c r="AN44" s="64"/>
      <c r="AO44" s="131">
        <f>AO42+AO43</f>
        <v>14717.267363062616</v>
      </c>
      <c r="AP44" s="136"/>
      <c r="AQ44" s="131">
        <f t="shared" ref="AQ44:AS44" si="38">AQ42+AQ43</f>
        <v>30034.267363062616</v>
      </c>
      <c r="AR44" s="136"/>
      <c r="AS44" s="128">
        <f t="shared" si="38"/>
        <v>32448.267363062616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9000</v>
      </c>
      <c r="Y45" s="113">
        <f>'Données à saisir'!D53</f>
        <v>9000</v>
      </c>
      <c r="Z45" s="236">
        <f>'Données à saisir'!E53</f>
        <v>9000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370.10600524634418</v>
      </c>
      <c r="AH45" s="57">
        <f>IF(AC45="Impôt sur les sociétés",IF(AH44&lt;0,0,IF(AH44&gt;38120,38120*0.15+(AH44-38120)*25%,AH44*0.15)),"")</f>
        <v>3073.106005246344</v>
      </c>
      <c r="AI45" s="53">
        <f>+IF(AC45="Impôt sur les sociétés",IF(AI44&lt;0,0,IF(AI44&gt;38120,38120*0.15+(AI44-38120)*25%,AI44*0.15)),"")</f>
        <v>3499.106005246344</v>
      </c>
      <c r="AL45" s="123" t="s">
        <v>162</v>
      </c>
      <c r="AO45" s="132">
        <f>IF(ISERROR(SUM('Données à saisir'!J70:J72)),0,SUM('Données à saisir'!J70:J72))</f>
        <v>7778.5714285714275</v>
      </c>
      <c r="AP45" s="137"/>
      <c r="AQ45" s="132">
        <f>SUM('Données à saisir'!K70:K72)</f>
        <v>7778.5714285714275</v>
      </c>
      <c r="AR45" s="137"/>
      <c r="AS45" s="127">
        <f>SUM('Données à saisir'!L70:L72)</f>
        <v>7778.5714285714275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1400</v>
      </c>
      <c r="Y46" s="113">
        <f>'Données à saisir'!D54</f>
        <v>1400</v>
      </c>
      <c r="Z46" s="236">
        <f>'Données à saisir'!E54</f>
        <v>1400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6938.6959344911884</v>
      </c>
      <c r="AP46" s="138"/>
      <c r="AQ46" s="133">
        <f>AQ44-AQ45</f>
        <v>22255.695934491188</v>
      </c>
      <c r="AR46" s="138"/>
      <c r="AS46" s="129">
        <f>AS44-AS45</f>
        <v>24669.695934491188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45167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2097.2673630626173</v>
      </c>
      <c r="AH47" s="65">
        <f t="shared" ref="AH47:AI47" si="39">AH44-SUM(AH45)</f>
        <v>17414.267363062616</v>
      </c>
      <c r="AI47" s="66">
        <f t="shared" si="39"/>
        <v>19828.267363062616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82450</v>
      </c>
      <c r="T48" s="109" t="s">
        <v>149</v>
      </c>
      <c r="U48" s="108"/>
      <c r="V48" s="108"/>
      <c r="W48" s="108"/>
      <c r="X48" s="112">
        <f>SUM(X31,X40)</f>
        <v>12620</v>
      </c>
      <c r="Y48" s="112">
        <f>SUM(Y31,Y40)</f>
        <v>12620</v>
      </c>
      <c r="Z48" s="118">
        <f>SUM(Z31,Z40)</f>
        <v>12620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29067.373368308959</v>
      </c>
      <c r="AH52" s="90">
        <f>AH35-SUM(AH36:AH38,AH42:AH43)</f>
        <v>79987.373368308967</v>
      </c>
      <c r="AI52" s="90">
        <f>AI35-SUM(AI36:AI38,AI42:AI43)</f>
        <v>125327.37336830897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2023-08-29T07:28:15Z</dcterms:modified>
</cp:coreProperties>
</file>