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13D04DAE-999E-466B-844F-13B062F32894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B70" i="1"/>
  <c r="E70" i="1" s="1"/>
  <c r="I70" i="1" s="1"/>
  <c r="AI42" i="2" s="1"/>
  <c r="AS24" i="2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G53" i="1" l="1"/>
  <c r="J53" i="1" s="1"/>
  <c r="K53" i="1" s="1"/>
  <c r="H53" i="1"/>
  <c r="I53" i="1"/>
  <c r="C147" i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<sst xmlns="http://schemas.openxmlformats.org/spreadsheetml/2006/main" count="450" uniqueCount="305">
  <si>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</si>
  <si>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</si>
  <si>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</si>
  <si>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</si>
  <si>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</si>
  <si>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</si>
  <si>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</si>
  <si>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</si>
  <si>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</si>
  <si>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</si>
  <si>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</si>
  <si>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</si>
  <si>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</si>
  <si>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</si>
  <si>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</si>
  <si>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</si>
  <si>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</si>
  <si>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</si>
  <si>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</si>
  <si>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</si>
  <si>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</si>
  <si>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</si>
  <si>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</si>
  <si>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</si>
  <si>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</si>
  <si>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</si>
  <si>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</si>
  <si>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</si>
  <si>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</si>
  <si>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</si>
  <si>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</si>
  <si>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</si>
  <si>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</si>
  <si>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</si>
  <si>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</si>
  <si>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</si>
  <si>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</si>
  <si>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</si>
  <si>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</si>
  <si>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</si>
  <si>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</si>
  <si>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</si>
  <si>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</si>
  <si>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</si>
  <si>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</si>
  <si>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</si>
  <si>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</si>
  <si>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</si>
  <si>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</si>
  <si>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</si>
  <si>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</si>
  <si>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</si>
  <si>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</si>
  <si>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</si>
  <si>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</si>
  <si>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</si>
  <si>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</si>
  <si>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</si>
  <si>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</si>
  <si>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</si>
  <si>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</si>
  <si>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</si>
  <si>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</si>
  <si>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</si>
  <si>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</si>
  <si>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</si>
  <si>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</si>
  <si>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</si>
  <si>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</si>
  <si>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</si>
  <si>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</si>
  <si>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</si>
  <si>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</si>
  <si>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</si>
  <si>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</si>
  <si>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</si>
  <si>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</si>
  <si>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</si>
  <si>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</si>
  <si>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</si>
  <si>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</si>
  <si>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</si>
  <si>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</si>
  <si>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</si>
  <si>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</si>
  <si>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</si>
  <si>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</si>
  <si>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</si>
  <si>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</si>
  <si>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</si>
  <si>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</si>
  <si>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</si>
  <si>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</si>
  <si>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</si>
  <si>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</si>
  <si>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</si>
  <si>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</si>
  <si>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</si>
  <si>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</si>
  <si>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</si>
  <si>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</si>
  <si>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</si>
  <si>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</si>
  <si>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</si>
  <si>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</si>
  <si>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</si>
  <si>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</si>
  <si>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</si>
  <si>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</si>
  <si>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</si>
  <si>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</si>
  <si>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</si>
  <si>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</si>
  <si>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</si>
  <si>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</si>
  <si>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</si>
  <si>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</si>
  <si>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</si>
  <si>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</si>
  <si>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</si>
  <si>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</si>
  <si>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</si>
  <si>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</si>
  <si>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</si>
  <si>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</si>
  <si>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</si>
  <si>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</si>
  <si>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</si>
  <si>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</si>
  <si>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</si>
  <si>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</si>
  <si>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</si>
  <si>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</si>
  <si>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</si>
  <si>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</si>
  <si>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</si>
  <si>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</si>
  <si>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</si>
  <si>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</si>
  <si>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</si>
  <si>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</si>
  <si>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</si>
  <si>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</si>
  <si>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</si>
  <si>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</si>
  <si>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</si>
  <si>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</si>
  <si>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</si>
  <si>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</si>
  <si>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</si>
  <si>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</si>
  <si>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</si>
  <si>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</si>
  <si>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</si>
  <si>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</si>
  <si>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</si>
  <si>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</si>
  <si>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</si>
  <si>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</si>
  <si>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</si>
  <si>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</si>
  <si>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</si>
  <si>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</si>
  <si>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</si>
  <si>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</si>
  <si>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</si>
  <si>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</si>
  <si>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</si>
  <si>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</si>
  <si>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</si>
  <si>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</si>
  <si>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</si>
  <si>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</si>
  <si>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</si>
  <si>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</si>
  <si>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</si>
  <si>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</si>
  <si>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</si>
  <si>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</si>
  <si>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</si>
  <si>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</si>
  <si>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</si>
  <si>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</si>
  <si>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</si>
  <si>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</si>
  <si>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</si>
  <si>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</si>
  <si>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</si>
  <si>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</si>
  <si>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</si>
  <si>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</si>
  <si>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</si>
  <si>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</si>
  <si>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</si>
  <si>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</si>
  <si>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</si>
  <si>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</si>
  <si>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</si>
  <si>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</si>
  <si>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</si>
  <si>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</si>
  <si>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</si>
  <si>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</si>
  <si>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</si>
  <si>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</si>
  <si>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</si>
  <si>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</si>
  <si>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</si>
  <si>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</si>
  <si>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</si>
  <si>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</si>
  <si>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</si>
  <si>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</si>
  <si>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</si>
  <si>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</si>
  <si>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</si>
  <si>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</si>
  <si>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</si>
  <si>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</si>
  <si>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</si>
  <si>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</si>
  <si>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</si>
  <si>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</si>
  <si>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</si>
  <si>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</si>
  <si>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</si>
  <si>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</si>
  <si>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</si>
  <si>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</si>
  <si>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</si>
  <si>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</si>
  <si>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</si>
  <si>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</si>
  <si>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</si>
  <si>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</si>
  <si>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</si>
  <si>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</si>
  <si>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</si>
  <si>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</si>
  <si>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</si>
  <si>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</si>
  <si>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</si>
  <si>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</si>
  <si>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</si>
  <si>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</si>
  <si>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</si>
  <si>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</si>
  <si>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</si>
  <si>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</si>
  <si>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</si>
  <si>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</si>
  <si>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</si>
  <si>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</si>
  <si>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</si>
  <si>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</si>
  <si>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</si>
  <si>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</si>
  <si>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</si>
  <si>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</si>
  <si>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</si>
  <si>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</si>
  <si>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</si>
  <si>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</si>
  <si>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</si>
  <si>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</si>
  <si>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</si>
  <si>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</si>
  <si>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</si>
  <si>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</si>
  <si>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</si>
  <si>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</si>
  <si>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</si>
  <si>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</si>
  <si>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</si>
  <si>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</si>
  <si>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</si>
  <si>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</si>
  <si>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</si>
  <si>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</si>
  <si>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</si>
  <si>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</si>
  <si>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</si>
  <si>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</si>
  <si>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</si>
  <si>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</si>
  <si>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</si>
  <si>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</si>
  <si>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</si>
  <si>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</si>
  <si>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</si>
  <si>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</si>
  <si>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</si>
  <si>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</si>
  <si>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</si>
  <si>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</si>
  <si>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</si>
  <si>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</si>
  <si>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</si>
  <si>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</si>
  <si>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</si>
  <si>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</si>
  <si>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Négociant automobile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</si>
  <si>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Commissions</t>
    </r>
  </si>
  <si>
    <t>Nombre de véhicules vendus</t>
  </si>
  <si>
    <t>Commission 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</si>
</sst>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92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1500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/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6000</v>
      </c>
      <c r="C29" s="5" t="s">
        <v>12</v>
      </c>
    </row>
    <row r="30" spans="1:8" x14ac:dyDescent="0.25">
      <c r="A30" s="276" t="s">
        <v>39</v>
      </c>
      <c r="B30" s="255">
        <v>1000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500</v>
      </c>
      <c r="C32" s="5" t="s">
        <v>17</v>
      </c>
    </row>
    <row r="33" spans="1:13" ht="15.25" thickBot="1" x14ac:dyDescent="0.3">
      <c r="A33" s="276" t="s">
        <v>40</v>
      </c>
      <c r="B33" s="255">
        <v>4500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18160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11660</v>
      </c>
      <c r="C39" s="116">
        <f t="shared" ref="C39:C54" si="0">IF(ISERROR($B39/$C$36),0,$B39/$C$36)</f>
        <v>2332</v>
      </c>
      <c r="D39" s="116">
        <f>IF($B39&gt;(SUM(C39:$C39)),IF(ISERROR($B39/$C$36),"",$B39/$C$36),0)</f>
        <v>2332</v>
      </c>
      <c r="E39" s="116">
        <f>IF($B39&gt;(SUM($C39:D39)),IF(ISERROR($B39/$C$36),"",$B39/$C$36),0)</f>
        <v>2332</v>
      </c>
      <c r="F39" s="116">
        <f>IF($B39&gt;(SUM($C39:E39)),IF(ISERROR($B39/$C$36),"",$B39/$C$36),0)</f>
        <v>2332</v>
      </c>
      <c r="G39" s="116">
        <f>IF($B39&gt;(SUM($C39:F39)),IF(ISERROR($B39/$C$36),"",$B39/$C$36),0)</f>
        <v>2332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11660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</v>
      </c>
      <c r="C40" s="75">
        <f t="shared" si="0"/>
        <v>12</v>
      </c>
      <c r="D40" s="75">
        <f>IF($B40&gt;(SUM(C40:$C40)),IF(ISERROR($B40/$C$36),"",$B40/$C$36),0)</f>
        <v>12</v>
      </c>
      <c r="E40" s="75">
        <f>IF($B40&gt;(SUM($C40:D40)),IF(ISERROR($B40/$C$36),"",$B40/$C$36),0)</f>
        <v>12</v>
      </c>
      <c r="F40" s="75">
        <f>IF($B40&gt;(SUM($C40:E40)),IF(ISERROR($B40/$C$36),"",$B40/$C$36),0)</f>
        <v>12</v>
      </c>
      <c r="G40" s="75">
        <f>IF($B40&gt;(SUM($C40:F40)),IF(ISERROR($B40/$C$36),"",$B40/$C$36),0)</f>
        <v>12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60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6000</v>
      </c>
      <c r="C52" s="75">
        <f t="shared" si="0"/>
        <v>1200</v>
      </c>
      <c r="D52" s="75">
        <f>IF($B52&gt;(SUM(C52:$C52)),IF(ISERROR($B52/$C$36),"",$B52/$C$36),0)</f>
        <v>1200</v>
      </c>
      <c r="E52" s="75">
        <f>IF($B52&gt;(SUM($C52:D52)),IF(ISERROR($B52/$C$36),"",$B52/$C$36),0)</f>
        <v>1200</v>
      </c>
      <c r="F52" s="75">
        <f>IF($B52&gt;(SUM($C52:E52)),IF(ISERROR($B52/$C$36),"",$B52/$C$36),0)</f>
        <v>1200</v>
      </c>
      <c r="G52" s="75">
        <f>IF($B52&gt;(SUM($C52:F52)),IF(ISERROR($B52/$C$36),"",$B52/$C$36),0)</f>
        <v>1200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6000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1000</v>
      </c>
      <c r="C53" s="75">
        <f t="shared" si="0"/>
        <v>200</v>
      </c>
      <c r="D53" s="75">
        <f>IF($B53&gt;(SUM(C53:$C53)),IF(ISERROR($B53/$C$36),"",$B53/$C$36),0)</f>
        <v>200</v>
      </c>
      <c r="E53" s="75">
        <f>IF($B53&gt;(SUM($C53:D53)),IF(ISERROR($B53/$C$36),"",$B53/$C$36),0)</f>
        <v>200</v>
      </c>
      <c r="F53" s="75">
        <f>IF($B53&gt;(SUM($C53:E53)),IF(ISERROR($B53/$C$36),"",$B53/$C$36),0)</f>
        <v>200</v>
      </c>
      <c r="G53" s="75">
        <f>IF($B53&gt;(SUM($C53:F53)),IF(ISERROR($B53/$C$36),"",$B53/$C$36),0)</f>
        <v>200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12000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f>B34-B59</f>
        <v>6160</v>
      </c>
      <c r="C61" s="257">
        <v>3.2000000000000001E-2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18160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81.950368941579114</v>
      </c>
      <c r="C70" s="79">
        <f>B70*D61</f>
        <v>6883.8309910926455</v>
      </c>
      <c r="D70" s="82">
        <f>IF(ISERROR(B61/D61),0,B61/D61)</f>
        <v>73.333333333333329</v>
      </c>
      <c r="E70" s="152">
        <f>B70-D70</f>
        <v>8.6170356082457857</v>
      </c>
      <c r="F70" s="80">
        <f>E70*D61</f>
        <v>723.83099109264595</v>
      </c>
      <c r="G70" s="153">
        <f>IF($D61&gt;12,$E70*12,$E70*$D61)</f>
        <v>103.40442729894943</v>
      </c>
      <c r="H70" s="153">
        <f>IF($D61-12&lt;0,0,IF($D61&gt;24,$E70*12,($D61-12)*$E70))</f>
        <v>103.40442729894943</v>
      </c>
      <c r="I70" s="153">
        <f>IF($D61-24&lt;0,0,IF($D61&gt;36,$E70*12,($D61-24)*$E70))</f>
        <v>103.40442729894943</v>
      </c>
      <c r="J70" s="153">
        <f>IF($D61&gt;12,$D70*12,$D70*$D61)</f>
        <v>880</v>
      </c>
      <c r="K70" s="153">
        <f>IF($D61-12&lt;0,0,IF($D61&gt;24,$D70*12,($D61-12)*$D70))</f>
        <v>880</v>
      </c>
      <c r="L70" s="153">
        <f>IF($D61-24&lt;0,0,IF($D61&gt;36,$D70*12,($D61-24)*$D70))</f>
        <v>880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103.40442729894943</v>
      </c>
      <c r="J73" s="203">
        <f t="shared" si="17"/>
        <v>880</v>
      </c>
      <c r="K73" s="203">
        <f t="shared" si="17"/>
        <v>880</v>
      </c>
      <c r="L73" s="203">
        <f t="shared" si="17"/>
        <v>880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450</v>
      </c>
      <c r="C77" s="260">
        <v>500</v>
      </c>
      <c r="D77" s="261">
        <v>500</v>
      </c>
    </row>
    <row r="78" spans="1:12" ht="15.1" customHeight="1" x14ac:dyDescent="0.25">
      <c r="A78" s="276" t="s">
        <v>21</v>
      </c>
      <c r="B78" s="259">
        <v>700</v>
      </c>
      <c r="C78" s="260">
        <v>700</v>
      </c>
      <c r="D78" s="261">
        <v>720</v>
      </c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261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>
        <v>3700</v>
      </c>
      <c r="C81" s="260">
        <v>4000</v>
      </c>
      <c r="D81" s="261">
        <v>4300</v>
      </c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400</v>
      </c>
      <c r="C84" s="260">
        <v>420</v>
      </c>
      <c r="D84" s="261">
        <v>440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1100</v>
      </c>
      <c r="C87" s="260">
        <v>700</v>
      </c>
      <c r="D87" s="261">
        <v>700</v>
      </c>
      <c r="E87" s="5"/>
      <c r="G87" s="233"/>
      <c r="H87" s="233"/>
    </row>
    <row r="88" spans="1:8" x14ac:dyDescent="0.25">
      <c r="A88" s="276" t="s">
        <v>29</v>
      </c>
      <c r="B88" s="259">
        <v>12000</v>
      </c>
      <c r="C88" s="260">
        <v>12200</v>
      </c>
      <c r="D88" s="261">
        <v>12300</v>
      </c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>
        <v>550</v>
      </c>
      <c r="C90" s="260">
        <v>560</v>
      </c>
      <c r="D90" s="261">
        <v>570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23400</v>
      </c>
      <c r="C97" s="10">
        <f>SUM(C77:C95)</f>
        <v>24780</v>
      </c>
      <c r="D97" s="10">
        <f>SUM(D77:D95)</f>
        <v>25580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303</v>
      </c>
      <c r="H102" s="11" t="s">
        <v>304</v>
      </c>
      <c r="I102" s="11" t="s">
        <v>55</v>
      </c>
    </row>
    <row r="103" spans="1:9" x14ac:dyDescent="0.25">
      <c r="A103" s="280" t="s">
        <v>208</v>
      </c>
      <c r="B103" s="262"/>
      <c r="C103" s="255"/>
      <c r="D103" s="12">
        <f>B103*C103</f>
        <v>0</v>
      </c>
      <c r="F103" s="281" t="s">
        <v>208</v>
      </c>
      <c r="G103" s="262">
        <v>2</v>
      </c>
      <c r="H103" s="255">
        <v>650</v>
      </c>
      <c r="I103" s="12">
        <f>G103*H103</f>
        <v>1300</v>
      </c>
    </row>
    <row r="104" spans="1:9" x14ac:dyDescent="0.25">
      <c r="A104" s="279" t="s">
        <v>209</v>
      </c>
      <c r="B104" s="262"/>
      <c r="C104" s="255"/>
      <c r="D104" s="12">
        <f t="shared" ref="D104:D114" si="18">B104*C104</f>
        <v>0</v>
      </c>
      <c r="F104" s="282" t="s">
        <v>209</v>
      </c>
      <c r="G104" s="262">
        <v>4</v>
      </c>
      <c r="H104" s="255">
        <v>650</v>
      </c>
      <c r="I104" s="12">
        <f t="shared" ref="I104:I114" si="19">G104*H104</f>
        <v>2600</v>
      </c>
    </row>
    <row r="105" spans="1:9" x14ac:dyDescent="0.25">
      <c r="A105" s="279" t="s">
        <v>210</v>
      </c>
      <c r="B105" s="262"/>
      <c r="C105" s="255"/>
      <c r="D105" s="12">
        <f t="shared" si="18"/>
        <v>0</v>
      </c>
      <c r="F105" s="282" t="s">
        <v>210</v>
      </c>
      <c r="G105" s="262">
        <v>5</v>
      </c>
      <c r="H105" s="255">
        <v>650</v>
      </c>
      <c r="I105" s="12">
        <f t="shared" si="19"/>
        <v>3250</v>
      </c>
    </row>
    <row r="106" spans="1:9" x14ac:dyDescent="0.25">
      <c r="A106" s="279" t="s">
        <v>215</v>
      </c>
      <c r="B106" s="262"/>
      <c r="C106" s="255"/>
      <c r="D106" s="12">
        <f t="shared" si="18"/>
        <v>0</v>
      </c>
      <c r="F106" s="282" t="s">
        <v>215</v>
      </c>
      <c r="G106" s="262">
        <v>6</v>
      </c>
      <c r="H106" s="255">
        <v>650</v>
      </c>
      <c r="I106" s="12">
        <f t="shared" si="19"/>
        <v>3900</v>
      </c>
    </row>
    <row r="107" spans="1:9" x14ac:dyDescent="0.25">
      <c r="A107" s="279" t="s">
        <v>217</v>
      </c>
      <c r="B107" s="262"/>
      <c r="C107" s="255"/>
      <c r="D107" s="12">
        <f t="shared" si="18"/>
        <v>0</v>
      </c>
      <c r="F107" s="282" t="s">
        <v>217</v>
      </c>
      <c r="G107" s="262">
        <v>7</v>
      </c>
      <c r="H107" s="255">
        <v>650</v>
      </c>
      <c r="I107" s="12">
        <f t="shared" si="19"/>
        <v>4550</v>
      </c>
    </row>
    <row r="108" spans="1:9" x14ac:dyDescent="0.25">
      <c r="A108" s="279" t="s">
        <v>218</v>
      </c>
      <c r="B108" s="262"/>
      <c r="C108" s="255"/>
      <c r="D108" s="12">
        <f t="shared" si="18"/>
        <v>0</v>
      </c>
      <c r="F108" s="282" t="s">
        <v>218</v>
      </c>
      <c r="G108" s="262">
        <v>7</v>
      </c>
      <c r="H108" s="255">
        <v>650</v>
      </c>
      <c r="I108" s="12">
        <f t="shared" si="19"/>
        <v>4550</v>
      </c>
    </row>
    <row r="109" spans="1:9" x14ac:dyDescent="0.25">
      <c r="A109" s="279" t="s">
        <v>219</v>
      </c>
      <c r="B109" s="262"/>
      <c r="C109" s="255"/>
      <c r="D109" s="12">
        <f t="shared" si="18"/>
        <v>0</v>
      </c>
      <c r="F109" s="282" t="s">
        <v>219</v>
      </c>
      <c r="G109" s="262">
        <v>8</v>
      </c>
      <c r="H109" s="255">
        <v>650</v>
      </c>
      <c r="I109" s="12">
        <f t="shared" si="19"/>
        <v>5200</v>
      </c>
    </row>
    <row r="110" spans="1:9" x14ac:dyDescent="0.25">
      <c r="A110" s="279" t="s">
        <v>220</v>
      </c>
      <c r="B110" s="262"/>
      <c r="C110" s="255"/>
      <c r="D110" s="12">
        <f t="shared" si="18"/>
        <v>0</v>
      </c>
      <c r="F110" s="282" t="s">
        <v>220</v>
      </c>
      <c r="G110" s="262">
        <v>8</v>
      </c>
      <c r="H110" s="255">
        <v>650</v>
      </c>
      <c r="I110" s="12">
        <f t="shared" si="19"/>
        <v>5200</v>
      </c>
    </row>
    <row r="111" spans="1:9" x14ac:dyDescent="0.25">
      <c r="A111" s="279" t="s">
        <v>221</v>
      </c>
      <c r="B111" s="262"/>
      <c r="C111" s="255"/>
      <c r="D111" s="12">
        <f t="shared" si="18"/>
        <v>0</v>
      </c>
      <c r="F111" s="282" t="s">
        <v>221</v>
      </c>
      <c r="G111" s="262">
        <v>8</v>
      </c>
      <c r="H111" s="255">
        <v>650</v>
      </c>
      <c r="I111" s="12">
        <f t="shared" si="19"/>
        <v>5200</v>
      </c>
    </row>
    <row r="112" spans="1:9" x14ac:dyDescent="0.25">
      <c r="A112" s="279" t="s">
        <v>222</v>
      </c>
      <c r="B112" s="262"/>
      <c r="C112" s="255"/>
      <c r="D112" s="12">
        <f t="shared" si="18"/>
        <v>0</v>
      </c>
      <c r="F112" s="282" t="s">
        <v>222</v>
      </c>
      <c r="G112" s="262">
        <v>8</v>
      </c>
      <c r="H112" s="255">
        <v>650</v>
      </c>
      <c r="I112" s="12">
        <f t="shared" si="19"/>
        <v>5200</v>
      </c>
    </row>
    <row r="113" spans="1:9" x14ac:dyDescent="0.25">
      <c r="A113" s="279" t="s">
        <v>223</v>
      </c>
      <c r="B113" s="262"/>
      <c r="C113" s="255"/>
      <c r="D113" s="12">
        <f t="shared" si="18"/>
        <v>0</v>
      </c>
      <c r="F113" s="282" t="s">
        <v>223</v>
      </c>
      <c r="G113" s="262">
        <v>7</v>
      </c>
      <c r="H113" s="255">
        <v>650</v>
      </c>
      <c r="I113" s="12">
        <f t="shared" si="19"/>
        <v>4550</v>
      </c>
    </row>
    <row r="114" spans="1:9" ht="15.25" thickBot="1" x14ac:dyDescent="0.3">
      <c r="A114" s="279" t="s">
        <v>224</v>
      </c>
      <c r="B114" s="262"/>
      <c r="C114" s="255"/>
      <c r="D114" s="12">
        <f t="shared" si="18"/>
        <v>0</v>
      </c>
      <c r="F114" s="282" t="s">
        <v>224</v>
      </c>
      <c r="G114" s="262">
        <v>5</v>
      </c>
      <c r="H114" s="255">
        <v>650</v>
      </c>
      <c r="I114" s="12">
        <f t="shared" si="19"/>
        <v>3250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48750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0.3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0.2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/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15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22000</v>
      </c>
      <c r="D134" s="261">
        <v>27000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10676.249999999998</v>
      </c>
      <c r="C141" s="71">
        <f>+'Plan financier à imprimer'!AH12*21.9%</f>
        <v>13879.124999999998</v>
      </c>
      <c r="D141" s="71">
        <f>+'Plan financier à imprimer'!AI12*21.9%</f>
        <v>16654.949999999997</v>
      </c>
      <c r="E141" s="93" t="s">
        <v>131</v>
      </c>
      <c r="F141" t="s">
        <v>1</v>
      </c>
      <c r="G141" s="245">
        <f>+'Plan financier à imprimer'!AG12*11%</f>
        <v>5362.5</v>
      </c>
      <c r="H141" s="247">
        <f>+'Plan financier à imprimer'!AH12*21.9%</f>
        <v>13879.124999999998</v>
      </c>
      <c r="I141" s="71">
        <f>+'Plan financier à imprimer'!AI12*21.9%</f>
        <v>16654.949999999997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6874.3786718103156</v>
      </c>
      <c r="C142" s="71">
        <f>IF('Plan financier à imprimer'!AH52*30%&lt;3456,3456,'Plan financier à imprimer'!AH52*30%)</f>
        <v>10847.878671810315</v>
      </c>
      <c r="D142" s="71">
        <f>IF('Plan financier à imprimer'!AI52*30%&lt;3456,3456,'Plan financier à imprimer'!AI52*30%)</f>
        <v>14410.378671810315</v>
      </c>
      <c r="F142" t="s">
        <v>110</v>
      </c>
      <c r="G142" s="245">
        <v>1305</v>
      </c>
      <c r="H142" s="248">
        <f>IF('Plan financier à imprimer'!AH52*32%&lt;3456,3456,'Plan financier à imprimer'!AH52*32%)</f>
        <v>11571.070583264336</v>
      </c>
      <c r="I142" s="72">
        <f>IF('Plan financier à imprimer'!AI52*32%&lt;3456,3456,'Plan financier à imprimer'!AI52*32%)</f>
        <v>15371.070583264336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12150</v>
      </c>
      <c r="F143" t="s">
        <v>109</v>
      </c>
      <c r="G143" s="245">
        <v>1305</v>
      </c>
      <c r="H143" s="248">
        <f>IF(C134*45%&lt;3456,3456,C134*45%)</f>
        <v>9900</v>
      </c>
      <c r="I143" s="72">
        <f>IF(D134*45%&lt;3456,3456,D134*45%)</f>
        <v>12150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12150</v>
      </c>
      <c r="F144" t="s">
        <v>111</v>
      </c>
      <c r="G144" s="245">
        <v>1305</v>
      </c>
      <c r="H144" s="248">
        <f>IF(C134*45%&lt;3456,3456,C134*45%)</f>
        <v>9900</v>
      </c>
      <c r="I144" s="72">
        <f>IF(D134*45%&lt;3456,3456,D134*45%)</f>
        <v>12150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18900</v>
      </c>
      <c r="F145" t="s">
        <v>112</v>
      </c>
      <c r="G145" s="245">
        <f>B134*33%</f>
        <v>4950</v>
      </c>
      <c r="H145" s="245">
        <f>C134*70%</f>
        <v>15399.999999999998</v>
      </c>
      <c r="I145" s="245">
        <f>D134*70%</f>
        <v>18900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18900</v>
      </c>
      <c r="F146" t="s">
        <v>113</v>
      </c>
      <c r="G146" s="245">
        <f>B134*33%</f>
        <v>4950</v>
      </c>
      <c r="H146" s="245">
        <f>C134*70%</f>
        <v>15399.999999999998</v>
      </c>
      <c r="I146" s="245">
        <f>D134*70%</f>
        <v>18900</v>
      </c>
    </row>
    <row r="147" spans="1:9" ht="15.1" hidden="1" x14ac:dyDescent="0.25">
      <c r="A147" s="1" t="s">
        <v>108</v>
      </c>
      <c r="B147" s="73">
        <f>SUMIF($A$140:$A$146,$B$8,B140:B146)</f>
        <v>10676.249999999998</v>
      </c>
      <c r="C147" s="73">
        <f>SUMIF($A$140:$A$146,$B$8,C140:C146)</f>
        <v>13879.124999999998</v>
      </c>
      <c r="D147" s="73">
        <f>SUMIF($A$140:$A$146,$B$8,D140:D146)</f>
        <v>16654.949999999997</v>
      </c>
      <c r="F147" s="1" t="s">
        <v>108</v>
      </c>
      <c r="G147" s="245">
        <f>SUMIF($A$140:$A$146,$B$8,G140:G146)</f>
        <v>5362.5</v>
      </c>
      <c r="H147" s="246">
        <f>SUMIF($A$140:$A$146,$B$8,H140:H146)</f>
        <v>13879.124999999998</v>
      </c>
      <c r="I147" s="246">
        <f>SUMIF($A$140:$A$146,$B$8,I140:I146)</f>
        <v>16654.949999999997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cOcyltO1SfJk62FpzyG88cyv8o4OjjywFyPOUx87i+dEFuu+I8yPt43357JX+9SFnQWZZrufqzsi3LR6kFEEXw==" saltValue="8BmDqbim6xq5SvdiFIJzx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Négociant automobile</v>
      </c>
      <c r="T6" s="1" t="s">
        <v>68</v>
      </c>
      <c r="V6" s="3" t="str">
        <f>IF(ISBLANK('Données à saisir'!$B7),"",('Données à saisir'!$B7))</f>
        <v>Négociant automobile</v>
      </c>
      <c r="AC6" s="1" t="s">
        <v>68</v>
      </c>
      <c r="AE6" s="3" t="str">
        <f>IF(ISBLANK('Données à saisir'!$B7),"",('Données à saisir'!$B7))</f>
        <v>Négociant automobile</v>
      </c>
      <c r="AL6" s="1" t="s">
        <v>68</v>
      </c>
      <c r="AN6" s="3" t="str">
        <f>IF(ISBLANK('Données à saisir'!$B7),"",('Données à saisir'!$B7))</f>
        <v>Négociant automobile</v>
      </c>
      <c r="AW6" s="1" t="s">
        <v>68</v>
      </c>
      <c r="AY6" s="3" t="str">
        <f>IF(ISBLANK('Données à saisir'!$B7),"",('Données à saisir'!$B7))</f>
        <v>Négociant automobile</v>
      </c>
      <c r="BF6" s="1" t="s">
        <v>68</v>
      </c>
      <c r="BH6" s="3" t="str">
        <f>IF(ISBLANK('Données à saisir'!$B7),"",('Données à saisir'!$B7))</f>
        <v>Négociant automobile</v>
      </c>
      <c r="BO6" s="1" t="s">
        <v>68</v>
      </c>
      <c r="BQ6" s="3" t="str">
        <f>IF(ISBLANK('Données à saisir'!$B7),"",('Données à saisir'!$B7))</f>
        <v>Négociant automobile</v>
      </c>
      <c r="BV6" s="193" t="s">
        <v>214</v>
      </c>
      <c r="BY6" s="1" t="s">
        <v>68</v>
      </c>
      <c r="CA6" s="3" t="str">
        <f>IF(ISBLANK('Données à saisir'!$B7),"",('Données à saisir'!$B7))</f>
        <v>Négociant automobile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Micro-entreprise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48750</v>
      </c>
      <c r="AH10" s="60">
        <f t="shared" ref="AH10:AI10" si="0">SUM(AH11:AH12)</f>
        <v>63375</v>
      </c>
      <c r="AI10" s="226">
        <f t="shared" si="0"/>
        <v>76050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48750</v>
      </c>
      <c r="BB11" s="60">
        <f>AH10</f>
        <v>63375</v>
      </c>
      <c r="BC11" s="226">
        <f>AI10</f>
        <v>76050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2160</v>
      </c>
      <c r="AC12" s="44" t="s">
        <v>122</v>
      </c>
      <c r="AG12" s="62">
        <f>'Données à saisir'!I115</f>
        <v>48750</v>
      </c>
      <c r="AH12" s="62">
        <f>AG12+AG12*'Données à saisir'!I117</f>
        <v>63375</v>
      </c>
      <c r="AI12" s="54">
        <f>AH12+AH12*'Données à saisir'!I118</f>
        <v>76050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48750</v>
      </c>
      <c r="AP13" s="139">
        <v>1</v>
      </c>
      <c r="AQ13" s="119">
        <f>AH10</f>
        <v>63375</v>
      </c>
      <c r="AR13" s="140">
        <v>1</v>
      </c>
      <c r="AS13" s="119">
        <f>AI10</f>
        <v>76050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48750</v>
      </c>
      <c r="AP14" s="142">
        <v>1</v>
      </c>
      <c r="AQ14" s="104">
        <f>AH10</f>
        <v>63375</v>
      </c>
      <c r="AR14" s="143">
        <v>1</v>
      </c>
      <c r="AS14" s="104">
        <f>AI10</f>
        <v>76050</v>
      </c>
      <c r="AT14" s="144">
        <v>1</v>
      </c>
      <c r="AW14" s="123" t="s">
        <v>176</v>
      </c>
      <c r="BA14" s="57">
        <f>BA11-BA13</f>
        <v>48750</v>
      </c>
      <c r="BB14" s="57">
        <f t="shared" ref="BB14:BC14" si="2">BB11-BB13</f>
        <v>63375</v>
      </c>
      <c r="BC14" s="53">
        <f t="shared" si="2"/>
        <v>76050</v>
      </c>
      <c r="BF14" s="186" t="s">
        <v>199</v>
      </c>
      <c r="BG14" s="52"/>
      <c r="BH14" s="52"/>
      <c r="BI14" s="52"/>
      <c r="BJ14" s="187">
        <f>Q12+Q23</f>
        <v>13160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27000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>
        <f>Q30</f>
        <v>500</v>
      </c>
      <c r="BK15" s="104"/>
      <c r="BL15" s="120"/>
      <c r="BO15" s="192" t="s">
        <v>200</v>
      </c>
      <c r="BP15" s="52"/>
      <c r="BQ15" s="52"/>
      <c r="BR15" s="187">
        <f>BJ19</f>
        <v>12000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12000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0.46666666666666667</v>
      </c>
      <c r="Z16" s="103">
        <f>IF(ISERROR((Z15-Y15)/Y15),"",(Z15-Y15)/Y15)</f>
        <v>0.22727272727272727</v>
      </c>
      <c r="AC16" s="63" t="s">
        <v>125</v>
      </c>
      <c r="AD16" s="64"/>
      <c r="AE16" s="64"/>
      <c r="AF16" s="64"/>
      <c r="AG16" s="65">
        <f>AG10-AG13</f>
        <v>48750</v>
      </c>
      <c r="AH16" s="65">
        <f>AH10-AH13</f>
        <v>63375</v>
      </c>
      <c r="AI16" s="66">
        <f>AI10-AI13</f>
        <v>76050</v>
      </c>
      <c r="AL16" s="63" t="s">
        <v>154</v>
      </c>
      <c r="AM16" s="64"/>
      <c r="AN16" s="64"/>
      <c r="AO16" s="65">
        <f>AO14-AO15</f>
        <v>48750</v>
      </c>
      <c r="AP16" s="147">
        <f t="shared" ref="AP16:AP28" si="5">AO16/$AO$14</f>
        <v>1</v>
      </c>
      <c r="AQ16" s="65">
        <f t="shared" ref="AQ16:AS16" si="6">AQ14-AQ15</f>
        <v>63375</v>
      </c>
      <c r="AR16" s="148">
        <f t="shared" ref="AR16:AR28" si="7">AQ16/$AQ$14</f>
        <v>1</v>
      </c>
      <c r="AS16" s="65">
        <f t="shared" si="6"/>
        <v>76050</v>
      </c>
      <c r="AT16" s="150">
        <f t="shared" ref="AT16:AT28" si="8">AS16/$AS$14</f>
        <v>1</v>
      </c>
      <c r="AW16" s="123" t="s">
        <v>177</v>
      </c>
      <c r="BA16" s="104">
        <f>SUM(AO17,AO19,AO20,AO22,AO24)</f>
        <v>46197.904427298949</v>
      </c>
      <c r="BB16" s="104">
        <f>SUM(AQ17,AQ19,AQ20,AQ22,AQ24)</f>
        <v>63094.529427298949</v>
      </c>
      <c r="BC16" s="159">
        <f>SUM(AS17,AS19,AS20,AS22,AS24)</f>
        <v>71670.354427298953</v>
      </c>
      <c r="BF16" s="123" t="s">
        <v>197</v>
      </c>
      <c r="BJ16" s="104">
        <f>BA39</f>
        <v>2003.4246575342468</v>
      </c>
      <c r="BK16" s="104">
        <f>BB39-BA39</f>
        <v>601.02739726027403</v>
      </c>
      <c r="BL16" s="120">
        <f>+BC39-BB39</f>
        <v>520.89041095890389</v>
      </c>
      <c r="BO16" s="123" t="s">
        <v>201</v>
      </c>
      <c r="BR16" s="104">
        <f>BJ20</f>
        <v>6160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6160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5362.5</v>
      </c>
      <c r="Y17" s="57">
        <f>AH40</f>
        <v>13879.124999999998</v>
      </c>
      <c r="Z17" s="53">
        <f>AI40</f>
        <v>16654.949999999997</v>
      </c>
      <c r="AC17" s="37" t="s">
        <v>126</v>
      </c>
      <c r="AG17" s="57">
        <f>SUM(AG18:AG33)</f>
        <v>22850</v>
      </c>
      <c r="AH17" s="57">
        <f>SUM(AH18:AH33)</f>
        <v>23320</v>
      </c>
      <c r="AI17" s="68">
        <f>SUM(AI18:AI33)</f>
        <v>24060</v>
      </c>
      <c r="AL17" s="70" t="s">
        <v>81</v>
      </c>
      <c r="AO17" s="104">
        <f>AG17</f>
        <v>22850</v>
      </c>
      <c r="AP17" s="145">
        <f t="shared" si="5"/>
        <v>0.4687179487179487</v>
      </c>
      <c r="AQ17" s="104">
        <f>AH17</f>
        <v>23320</v>
      </c>
      <c r="AR17" s="149">
        <f t="shared" si="7"/>
        <v>0.36796844181459565</v>
      </c>
      <c r="AS17" s="104">
        <f>AI17</f>
        <v>24060</v>
      </c>
      <c r="AT17" s="146">
        <f t="shared" si="8"/>
        <v>0.31637080867850098</v>
      </c>
      <c r="AW17" s="63" t="s">
        <v>194</v>
      </c>
      <c r="AX17" s="64"/>
      <c r="AY17" s="64"/>
      <c r="AZ17" s="64"/>
      <c r="BA17" s="65">
        <f>BA12+BA16</f>
        <v>46197.904427298949</v>
      </c>
      <c r="BB17" s="65">
        <f t="shared" ref="BB17:BC17" si="9">BB12+BB16</f>
        <v>63094.529427298949</v>
      </c>
      <c r="BC17" s="66">
        <f t="shared" si="9"/>
        <v>71670.354427298953</v>
      </c>
      <c r="BF17" s="123" t="s">
        <v>198</v>
      </c>
      <c r="BJ17" s="104">
        <f>AO45</f>
        <v>880</v>
      </c>
      <c r="BK17" s="104">
        <f>AQ45</f>
        <v>880</v>
      </c>
      <c r="BL17" s="120">
        <f>AS45</f>
        <v>880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450</v>
      </c>
      <c r="AH18" s="62">
        <f>IF(ISBLANK('Données à saisir'!C77),0,'Données à saisir'!C77)</f>
        <v>500</v>
      </c>
      <c r="AI18" s="54">
        <f>IF(ISBLANK('Données à saisir'!D77),0,'Données à saisir'!D77)</f>
        <v>500</v>
      </c>
      <c r="AL18" s="63" t="s">
        <v>127</v>
      </c>
      <c r="AM18" s="64"/>
      <c r="AN18" s="64"/>
      <c r="AO18" s="65">
        <f>AO16-AO17</f>
        <v>25900</v>
      </c>
      <c r="AP18" s="147">
        <f t="shared" si="5"/>
        <v>0.5312820512820513</v>
      </c>
      <c r="AQ18" s="65">
        <f t="shared" ref="AQ18:AS18" si="10">AQ16-AQ17</f>
        <v>40055</v>
      </c>
      <c r="AR18" s="148">
        <f t="shared" si="7"/>
        <v>0.63203155818540435</v>
      </c>
      <c r="AS18" s="65">
        <f t="shared" si="10"/>
        <v>51990</v>
      </c>
      <c r="AT18" s="150">
        <f t="shared" si="8"/>
        <v>0.68362919132149902</v>
      </c>
      <c r="AW18" s="123" t="s">
        <v>178</v>
      </c>
      <c r="BA18" s="104">
        <f>AG44</f>
        <v>2552.0955727010505</v>
      </c>
      <c r="BB18" s="104">
        <f>AH44</f>
        <v>280.47057270105051</v>
      </c>
      <c r="BC18" s="159">
        <f>AI44</f>
        <v>4379.6455727010534</v>
      </c>
      <c r="BF18" s="63" t="s">
        <v>196</v>
      </c>
      <c r="BG18" s="64"/>
      <c r="BH18" s="64"/>
      <c r="BI18" s="64"/>
      <c r="BJ18" s="188">
        <f>SUM(BJ14:BJ17)</f>
        <v>16543.424657534248</v>
      </c>
      <c r="BK18" s="189">
        <f>SUM(BK14:BK17)</f>
        <v>1481.027397260274</v>
      </c>
      <c r="BL18" s="190">
        <f>SUM(BL14:BL17)</f>
        <v>1400.8904109589039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700</v>
      </c>
      <c r="AI19" s="54">
        <f>IF(ISBLANK('Données à saisir'!D78),0,'Données à saisir'!D78)</f>
        <v>720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1.4201183431952662E-2</v>
      </c>
      <c r="AS19" s="104">
        <f>AI36</f>
        <v>950</v>
      </c>
      <c r="AT19" s="146">
        <f t="shared" si="8"/>
        <v>1.2491781722550954E-2</v>
      </c>
      <c r="AW19" s="63" t="s">
        <v>195</v>
      </c>
      <c r="AX19" s="64"/>
      <c r="AY19" s="64"/>
      <c r="AZ19" s="64"/>
      <c r="BA19" s="65">
        <f>IF(ISERROR(BA16/BA15),0,BA16/BA15)</f>
        <v>46197.904427298949</v>
      </c>
      <c r="BB19" s="65">
        <f t="shared" ref="BB19:BC19" si="11">IF(ISERROR(BB16/BB15),0,BB16/BB15)</f>
        <v>63094.529427298949</v>
      </c>
      <c r="BC19" s="66">
        <f t="shared" si="11"/>
        <v>71670.354427298953</v>
      </c>
      <c r="BF19" s="123" t="s">
        <v>200</v>
      </c>
      <c r="BJ19" s="104">
        <f>Q37</f>
        <v>12000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153</v>
      </c>
      <c r="AM20" s="1"/>
      <c r="AN20" s="1"/>
      <c r="AO20" s="104">
        <f>SUM(AG37:AG40)</f>
        <v>20362.5</v>
      </c>
      <c r="AP20" s="145">
        <f t="shared" si="5"/>
        <v>0.4176923076923077</v>
      </c>
      <c r="AQ20" s="104">
        <f>SUM(AH37:AH40)</f>
        <v>35879.125</v>
      </c>
      <c r="AR20" s="149">
        <f t="shared" si="7"/>
        <v>0.56614003944773172</v>
      </c>
      <c r="AS20" s="104">
        <f>SUM(AI37:AI40)</f>
        <v>43654.95</v>
      </c>
      <c r="AT20" s="146">
        <f t="shared" si="8"/>
        <v>0.57402958579881658</v>
      </c>
      <c r="AW20" s="123" t="s">
        <v>179</v>
      </c>
      <c r="BA20" s="104">
        <f>BA11-BA19</f>
        <v>2552.0955727010514</v>
      </c>
      <c r="BB20" s="104">
        <f t="shared" ref="BB20:BC20" si="12">BB11-BB19</f>
        <v>280.47057270105142</v>
      </c>
      <c r="BC20" s="120">
        <f t="shared" si="12"/>
        <v>4379.6455727010471</v>
      </c>
      <c r="BF20" s="123" t="s">
        <v>201</v>
      </c>
      <c r="BJ20" s="104">
        <f>Q40</f>
        <v>6160</v>
      </c>
      <c r="BK20" s="104"/>
      <c r="BL20" s="159"/>
      <c r="BO20" s="123" t="s">
        <v>212</v>
      </c>
      <c r="BR20" s="104">
        <f>'Données à saisir'!I103</f>
        <v>1300</v>
      </c>
      <c r="BS20" s="104">
        <f>'Données à saisir'!I104</f>
        <v>2600</v>
      </c>
      <c r="BT20" s="104">
        <f>'Données à saisir'!I105</f>
        <v>3250</v>
      </c>
      <c r="BU20" s="104">
        <f>'Données à saisir'!I106</f>
        <v>3900</v>
      </c>
      <c r="BV20" s="159">
        <f>'Données à saisir'!I107</f>
        <v>4550</v>
      </c>
      <c r="BY20" s="196">
        <f>'Données à saisir'!I108</f>
        <v>4550</v>
      </c>
      <c r="BZ20" s="104">
        <f>'Données à saisir'!I109</f>
        <v>5200</v>
      </c>
      <c r="CA20" s="104">
        <f>'Données à saisir'!I110</f>
        <v>5200</v>
      </c>
      <c r="CB20" s="104">
        <f>'Données à saisir'!I111</f>
        <v>5200</v>
      </c>
      <c r="CC20" s="104">
        <f>'Données à saisir'!I112</f>
        <v>5200</v>
      </c>
      <c r="CD20" s="104">
        <f>'Données à saisir'!I113</f>
        <v>4550</v>
      </c>
      <c r="CE20" s="132">
        <f>'Données à saisir'!I114</f>
        <v>3250</v>
      </c>
      <c r="CF20" s="201">
        <f t="shared" ref="CF20:CF24" si="13">SUM(BR20:CE20)</f>
        <v>48750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128</v>
      </c>
      <c r="AM21" s="64"/>
      <c r="AN21" s="64"/>
      <c r="AO21" s="65">
        <f>AO18-AO19-AO20</f>
        <v>5537.5</v>
      </c>
      <c r="AP21" s="147">
        <f t="shared" si="5"/>
        <v>0.11358974358974359</v>
      </c>
      <c r="AQ21" s="65">
        <f t="shared" ref="AQ21:AS21" si="14">AQ18-AQ19-AQ20</f>
        <v>3275.875</v>
      </c>
      <c r="AR21" s="148">
        <f t="shared" si="7"/>
        <v>5.1690335305719919E-2</v>
      </c>
      <c r="AS21" s="65">
        <f t="shared" si="14"/>
        <v>7385.0500000000029</v>
      </c>
      <c r="AT21" s="150">
        <f t="shared" si="8"/>
        <v>9.7107823800131526E-2</v>
      </c>
      <c r="AW21" s="208" t="s">
        <v>180</v>
      </c>
      <c r="AX21" s="36"/>
      <c r="AY21" s="36"/>
      <c r="AZ21" s="36"/>
      <c r="BA21" s="156">
        <f>BA19/250</f>
        <v>184.7916177091958</v>
      </c>
      <c r="BB21" s="156">
        <f t="shared" ref="BB21:BC21" si="15">BB19/250</f>
        <v>252.37811770919581</v>
      </c>
      <c r="BC21" s="157">
        <f t="shared" si="15"/>
        <v>286.68141770919578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1300</v>
      </c>
      <c r="BS21" s="65">
        <f t="shared" ref="BS21:BV21" si="16">SUM(BS19:BS20)</f>
        <v>2600</v>
      </c>
      <c r="BT21" s="65">
        <f t="shared" si="16"/>
        <v>3250</v>
      </c>
      <c r="BU21" s="65">
        <f t="shared" si="16"/>
        <v>3900</v>
      </c>
      <c r="BV21" s="66">
        <f t="shared" si="16"/>
        <v>4550</v>
      </c>
      <c r="BY21" s="197">
        <f t="shared" ref="BY21:CE21" si="17">SUM(BY19:BY20)</f>
        <v>4550</v>
      </c>
      <c r="BZ21" s="65">
        <f t="shared" si="17"/>
        <v>5200</v>
      </c>
      <c r="CA21" s="65">
        <f t="shared" si="17"/>
        <v>5200</v>
      </c>
      <c r="CB21" s="65">
        <f t="shared" si="17"/>
        <v>5200</v>
      </c>
      <c r="CC21" s="65">
        <f t="shared" si="17"/>
        <v>5200</v>
      </c>
      <c r="CD21" s="65">
        <f t="shared" si="17"/>
        <v>4550</v>
      </c>
      <c r="CE21" s="131">
        <f t="shared" si="17"/>
        <v>3250</v>
      </c>
      <c r="CF21" s="200">
        <f t="shared" si="13"/>
        <v>48750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3700</v>
      </c>
      <c r="AH22" s="62">
        <f>IF(ISBLANK('Données à saisir'!C81),0,'Données à saisir'!C81)</f>
        <v>4000</v>
      </c>
      <c r="AI22" s="54">
        <f>IF(ISBLANK('Données à saisir'!D81),0,'Données à saisir'!D81)</f>
        <v>4300</v>
      </c>
      <c r="AL22" s="38" t="s">
        <v>155</v>
      </c>
      <c r="AO22" s="104">
        <f>AG43</f>
        <v>2332</v>
      </c>
      <c r="AP22" s="145">
        <f t="shared" si="5"/>
        <v>4.7835897435897438E-2</v>
      </c>
      <c r="AQ22" s="104">
        <f>AH43</f>
        <v>2332</v>
      </c>
      <c r="AR22" s="149">
        <f t="shared" si="7"/>
        <v>3.6796844181459565E-2</v>
      </c>
      <c r="AS22" s="104">
        <f>AI43</f>
        <v>2332</v>
      </c>
      <c r="AT22" s="146">
        <f t="shared" si="8"/>
        <v>3.0664036817882972E-2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2160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2160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11000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156</v>
      </c>
      <c r="AM23" s="64"/>
      <c r="AN23" s="64"/>
      <c r="AO23" s="65">
        <f>AO21-AO22</f>
        <v>3205.5</v>
      </c>
      <c r="AP23" s="147">
        <f t="shared" si="5"/>
        <v>6.5753846153846149E-2</v>
      </c>
      <c r="AQ23" s="65">
        <f t="shared" ref="AQ23:AS23" si="18">AQ21-AQ22</f>
        <v>943.875</v>
      </c>
      <c r="AR23" s="148">
        <f t="shared" si="7"/>
        <v>1.4893491124260355E-2</v>
      </c>
      <c r="AS23" s="65">
        <f t="shared" si="18"/>
        <v>5053.0500000000029</v>
      </c>
      <c r="AT23" s="150">
        <f t="shared" si="8"/>
        <v>6.6443786982248565E-2</v>
      </c>
      <c r="AW23" s="4"/>
      <c r="BA23" s="99"/>
      <c r="BB23" s="99"/>
      <c r="BC23" s="99"/>
      <c r="BF23" s="123" t="s">
        <v>204</v>
      </c>
      <c r="BJ23" s="104">
        <f>AO44</f>
        <v>4884.0955727010505</v>
      </c>
      <c r="BK23" s="104">
        <f>AQ44</f>
        <v>2612.4705727010505</v>
      </c>
      <c r="BL23" s="159">
        <f>AS44</f>
        <v>6711.6455727010534</v>
      </c>
      <c r="BO23" s="123" t="s">
        <v>70</v>
      </c>
      <c r="BR23" s="104">
        <f>Q23</f>
        <v>11000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11000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653.40442729894949</v>
      </c>
      <c r="AP24" s="145">
        <f t="shared" si="5"/>
        <v>1.340316773946563E-2</v>
      </c>
      <c r="AQ24" s="104">
        <f>AH42</f>
        <v>663.40442729894949</v>
      </c>
      <c r="AR24" s="149">
        <f t="shared" si="7"/>
        <v>1.0467919957379874E-2</v>
      </c>
      <c r="AS24" s="104">
        <f>AI42</f>
        <v>673.40442729894949</v>
      </c>
      <c r="AT24" s="146">
        <f t="shared" si="8"/>
        <v>8.8547590703346411E-3</v>
      </c>
      <c r="BF24" s="63" t="s">
        <v>205</v>
      </c>
      <c r="BG24" s="64"/>
      <c r="BH24" s="64"/>
      <c r="BI24" s="64"/>
      <c r="BJ24" s="65">
        <f>SUM(BJ19:BJ23)</f>
        <v>23044.095572701051</v>
      </c>
      <c r="BK24" s="65">
        <f>SUM(BK19:BK23)</f>
        <v>2612.4705727010505</v>
      </c>
      <c r="BL24" s="66">
        <f>SUM(BL19:BL23)</f>
        <v>6711.6455727010534</v>
      </c>
      <c r="BO24" s="63" t="s">
        <v>225</v>
      </c>
      <c r="BP24" s="64"/>
      <c r="BQ24" s="64"/>
      <c r="BR24" s="65">
        <f>SUM(BR22:BR23)</f>
        <v>13160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13160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400</v>
      </c>
      <c r="AH25" s="62">
        <f>IF(ISBLANK('Données à saisir'!C84),0,'Données à saisir'!C84)</f>
        <v>420</v>
      </c>
      <c r="AI25" s="54">
        <f>IF(ISBLANK('Données à saisir'!D84),0,'Données à saisir'!D84)</f>
        <v>440</v>
      </c>
      <c r="AL25" s="38" t="s">
        <v>157</v>
      </c>
      <c r="AM25" s="1"/>
      <c r="AN25" s="1"/>
      <c r="AO25" s="104">
        <f>AO24*-1</f>
        <v>-653.40442729894949</v>
      </c>
      <c r="AP25" s="145">
        <f t="shared" si="5"/>
        <v>-1.340316773946563E-2</v>
      </c>
      <c r="AQ25" s="104">
        <f t="shared" ref="AQ25:AS25" si="19">AQ24*-1</f>
        <v>-663.40442729894949</v>
      </c>
      <c r="AR25" s="149">
        <f t="shared" si="7"/>
        <v>-1.0467919957379874E-2</v>
      </c>
      <c r="AS25" s="104">
        <f t="shared" si="19"/>
        <v>-673.40442729894949</v>
      </c>
      <c r="AT25" s="146">
        <f t="shared" si="8"/>
        <v>-8.8547590703346411E-3</v>
      </c>
      <c r="BA25" s="90"/>
      <c r="BF25" s="123" t="s">
        <v>206</v>
      </c>
      <c r="BJ25" s="104">
        <f>BJ24-BJ18</f>
        <v>6500.6709151668038</v>
      </c>
      <c r="BK25" s="104">
        <f>BK24-BK18</f>
        <v>1131.4431754407765</v>
      </c>
      <c r="BL25" s="120">
        <f>BL24-BL18</f>
        <v>5310.7551617421495</v>
      </c>
      <c r="BO25" s="123" t="s">
        <v>259</v>
      </c>
      <c r="BR25" s="104">
        <f>Q30</f>
        <v>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6000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2552.0955727010505</v>
      </c>
      <c r="AP26" s="147">
        <f t="shared" si="5"/>
        <v>5.2350678414380521E-2</v>
      </c>
      <c r="AQ26" s="65">
        <f t="shared" ref="AQ26:AS26" si="21">AQ23+AQ25</f>
        <v>280.47057270105051</v>
      </c>
      <c r="AR26" s="148">
        <f t="shared" si="7"/>
        <v>4.4255711668804813E-3</v>
      </c>
      <c r="AS26" s="65">
        <f t="shared" si="21"/>
        <v>4379.6455727010534</v>
      </c>
      <c r="AT26" s="150">
        <f t="shared" si="8"/>
        <v>5.758902791191392E-2</v>
      </c>
      <c r="BF26" s="63" t="s">
        <v>260</v>
      </c>
      <c r="BG26" s="64"/>
      <c r="BH26" s="64"/>
      <c r="BI26" s="64"/>
      <c r="BJ26" s="65">
        <f>BJ25</f>
        <v>6500.6709151668038</v>
      </c>
      <c r="BK26" s="65">
        <f>BJ26+BK25</f>
        <v>7632.1140906075798</v>
      </c>
      <c r="BL26" s="66">
        <f>+BK26+BL25</f>
        <v>12942.86925234973</v>
      </c>
      <c r="BO26" s="123" t="s">
        <v>226</v>
      </c>
      <c r="BR26" s="104">
        <f>IF(ISERROR('Données à saisir'!$J$73/12),0,'Données à saisir'!$J$73/12)</f>
        <v>73.333333333333329</v>
      </c>
      <c r="BS26" s="104">
        <f>IF(ISERROR('Données à saisir'!$J$73/12),0,'Données à saisir'!$J$73/12)</f>
        <v>73.333333333333329</v>
      </c>
      <c r="BT26" s="104">
        <f>IF(ISERROR('Données à saisir'!$J$73/12),0,'Données à saisir'!$J$73/12)</f>
        <v>73.333333333333329</v>
      </c>
      <c r="BU26" s="104">
        <f>IF(ISERROR('Données à saisir'!$J$73/12),0,'Données à saisir'!$J$73/12)</f>
        <v>73.333333333333329</v>
      </c>
      <c r="BV26" s="120">
        <f>IF(ISERROR('Données à saisir'!$J$73/12),0,'Données à saisir'!$J$73/12)</f>
        <v>73.333333333333329</v>
      </c>
      <c r="BY26" s="196">
        <f>IF(ISERROR('Données à saisir'!$J$73/12),0,'Données à saisir'!$J$73/12)</f>
        <v>73.333333333333329</v>
      </c>
      <c r="BZ26" s="104">
        <f>IF(ISERROR('Données à saisir'!$J$73/12),0,'Données à saisir'!$J$73/12)</f>
        <v>73.333333333333329</v>
      </c>
      <c r="CA26" s="104">
        <f>IF(ISERROR('Données à saisir'!$J$73/12),0,'Données à saisir'!$J$73/12)</f>
        <v>73.333333333333329</v>
      </c>
      <c r="CB26" s="104">
        <f>IF(ISERROR('Données à saisir'!$J$73/12),0,'Données à saisir'!$J$73/12)</f>
        <v>73.333333333333329</v>
      </c>
      <c r="CC26" s="104">
        <f>IF(ISERROR('Données à saisir'!$J$73/12),0,'Données à saisir'!$J$73/12)</f>
        <v>73.333333333333329</v>
      </c>
      <c r="CD26" s="104">
        <f>IF(ISERROR('Données à saisir'!$J$73/12),0,'Données à saisir'!$J$73/12)</f>
        <v>73.333333333333329</v>
      </c>
      <c r="CE26" s="132">
        <f>IF(ISERROR('Données à saisir'!$J$73/12),0,'Données à saisir'!$J$73/12)</f>
        <v>73.333333333333329</v>
      </c>
      <c r="CF26" s="201">
        <f t="shared" si="20"/>
        <v>880.00000000000011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2552.0955727010505</v>
      </c>
      <c r="AP27" s="147">
        <f t="shared" si="5"/>
        <v>5.2350678414380521E-2</v>
      </c>
      <c r="AQ27" s="65">
        <f>IF(ISERROR(AQ26-AH45),AQ26,(AQ26-AH45))</f>
        <v>280.47057270105051</v>
      </c>
      <c r="AR27" s="148">
        <f t="shared" si="7"/>
        <v>4.4255711668804813E-3</v>
      </c>
      <c r="AS27" s="65">
        <f>IF(ISERROR(AS26-AI45),AS26,(AS26-AI45))</f>
        <v>4379.6455727010534</v>
      </c>
      <c r="AT27" s="150">
        <f t="shared" si="8"/>
        <v>5.758902791191392E-2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Négociant automobile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1100</v>
      </c>
      <c r="AH28" s="62">
        <f>IF(ISBLANK('Données à saisir'!C87),0,'Données à saisir'!C87)</f>
        <v>700</v>
      </c>
      <c r="AI28" s="54">
        <f>IF(ISBLANK('Données à saisir'!D87),0,'Données à saisir'!D87)</f>
        <v>700</v>
      </c>
      <c r="AL28" s="38" t="s">
        <v>158</v>
      </c>
      <c r="AM28" s="1"/>
      <c r="AN28" s="1"/>
      <c r="AO28" s="104">
        <f>AO27+AO22</f>
        <v>4884.0955727010505</v>
      </c>
      <c r="AP28" s="145">
        <f t="shared" si="5"/>
        <v>0.10018657585027796</v>
      </c>
      <c r="AQ28" s="104">
        <f t="shared" ref="AQ28:AS28" si="22">AQ27+AQ22</f>
        <v>2612.4705727010505</v>
      </c>
      <c r="AR28" s="149">
        <f t="shared" si="7"/>
        <v>4.122241534834005E-2</v>
      </c>
      <c r="AS28" s="104">
        <f t="shared" si="22"/>
        <v>6711.6455727010534</v>
      </c>
      <c r="AT28" s="151">
        <f t="shared" si="8"/>
        <v>8.8253064729796896E-2</v>
      </c>
      <c r="BF28" s="92" t="s">
        <v>256</v>
      </c>
      <c r="BI28" s="338">
        <f>Q31</f>
        <v>4500</v>
      </c>
      <c r="BJ28" s="338"/>
      <c r="BO28" s="123" t="s">
        <v>81</v>
      </c>
      <c r="BR28" s="104">
        <f>$AG$17/12</f>
        <v>1904.1666666666667</v>
      </c>
      <c r="BS28" s="104">
        <f t="shared" ref="BS28:CE28" si="23">$AG$17/12</f>
        <v>1904.1666666666667</v>
      </c>
      <c r="BT28" s="104">
        <f t="shared" si="23"/>
        <v>1904.1666666666667</v>
      </c>
      <c r="BU28" s="104">
        <f t="shared" si="23"/>
        <v>1904.1666666666667</v>
      </c>
      <c r="BV28" s="120">
        <f t="shared" si="23"/>
        <v>1904.1666666666667</v>
      </c>
      <c r="BY28" s="196">
        <f t="shared" si="23"/>
        <v>1904.1666666666667</v>
      </c>
      <c r="BZ28" s="104">
        <f t="shared" si="23"/>
        <v>1904.1666666666667</v>
      </c>
      <c r="CA28" s="104">
        <f t="shared" si="23"/>
        <v>1904.1666666666667</v>
      </c>
      <c r="CB28" s="104">
        <f t="shared" si="23"/>
        <v>1904.1666666666667</v>
      </c>
      <c r="CC28" s="104">
        <f t="shared" si="23"/>
        <v>1904.1666666666667</v>
      </c>
      <c r="CD28" s="104">
        <f t="shared" si="23"/>
        <v>1904.1666666666667</v>
      </c>
      <c r="CE28" s="132">
        <f t="shared" si="23"/>
        <v>1904.1666666666667</v>
      </c>
      <c r="CF28" s="201">
        <f t="shared" si="20"/>
        <v>22850.000000000004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12000</v>
      </c>
      <c r="AH29" s="62">
        <f>IF(ISBLANK('Données à saisir'!C88),0,'Données à saisir'!C88)</f>
        <v>12200</v>
      </c>
      <c r="AI29" s="54">
        <f>IF(ISBLANK('Données à saisir'!D88),0,'Données à saisir'!D88)</f>
        <v>12300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4500</v>
      </c>
      <c r="T31" s="107" t="s">
        <v>147</v>
      </c>
      <c r="U31" s="34"/>
      <c r="V31" s="34"/>
      <c r="W31" s="34"/>
      <c r="X31" s="110">
        <f>SUM(X33:X39)</f>
        <v>132</v>
      </c>
      <c r="Y31" s="110">
        <f>SUM(Y33:Y39)</f>
        <v>132</v>
      </c>
      <c r="Z31" s="111">
        <f>SUM(Z33:Z39)</f>
        <v>132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18160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Micro-entreprise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</v>
      </c>
      <c r="Y33" s="113">
        <f>'Données à saisir'!D40</f>
        <v>12</v>
      </c>
      <c r="Z33" s="236">
        <f>'Données à saisir'!E40</f>
        <v>12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446.875</v>
      </c>
      <c r="BS33" s="104">
        <f t="shared" si="24"/>
        <v>446.875</v>
      </c>
      <c r="BT33" s="104">
        <f t="shared" si="24"/>
        <v>446.875</v>
      </c>
      <c r="BU33" s="104">
        <f t="shared" si="24"/>
        <v>446.875</v>
      </c>
      <c r="BV33" s="120">
        <f t="shared" si="24"/>
        <v>446.875</v>
      </c>
      <c r="BY33" s="196">
        <f t="shared" si="25"/>
        <v>446.875</v>
      </c>
      <c r="BZ33" s="104">
        <f t="shared" si="25"/>
        <v>446.875</v>
      </c>
      <c r="CA33" s="104">
        <f t="shared" si="25"/>
        <v>446.875</v>
      </c>
      <c r="CB33" s="104">
        <f t="shared" si="25"/>
        <v>446.875</v>
      </c>
      <c r="CC33" s="104">
        <f t="shared" si="25"/>
        <v>446.875</v>
      </c>
      <c r="CD33" s="104">
        <f t="shared" si="25"/>
        <v>446.875</v>
      </c>
      <c r="CE33" s="132">
        <f t="shared" si="25"/>
        <v>446.875</v>
      </c>
      <c r="CF33" s="201">
        <f t="shared" si="20"/>
        <v>5362.5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1696.875</v>
      </c>
      <c r="BS34" s="65">
        <f t="shared" ref="BS34:CE34" si="27">SUM(BS30:BS33)</f>
        <v>1696.875</v>
      </c>
      <c r="BT34" s="65">
        <f t="shared" si="27"/>
        <v>1696.875</v>
      </c>
      <c r="BU34" s="65">
        <f t="shared" si="27"/>
        <v>1696.875</v>
      </c>
      <c r="BV34" s="66">
        <f t="shared" si="27"/>
        <v>1696.875</v>
      </c>
      <c r="BY34" s="197">
        <f t="shared" si="27"/>
        <v>1696.875</v>
      </c>
      <c r="BZ34" s="65">
        <f t="shared" si="27"/>
        <v>1696.875</v>
      </c>
      <c r="CA34" s="65">
        <f t="shared" si="27"/>
        <v>1696.875</v>
      </c>
      <c r="CB34" s="65">
        <f t="shared" si="27"/>
        <v>1696.875</v>
      </c>
      <c r="CC34" s="65">
        <f t="shared" si="27"/>
        <v>1696.875</v>
      </c>
      <c r="CD34" s="65">
        <f t="shared" si="27"/>
        <v>1696.875</v>
      </c>
      <c r="CE34" s="131">
        <f t="shared" si="27"/>
        <v>1696.875</v>
      </c>
      <c r="CF34" s="200">
        <f t="shared" si="20"/>
        <v>20362.5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25900</v>
      </c>
      <c r="AH35" s="65">
        <f>AH16-AH17</f>
        <v>40055</v>
      </c>
      <c r="AI35" s="66">
        <f>AI16-AI17</f>
        <v>51990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54.450368941579121</v>
      </c>
      <c r="BS35" s="104">
        <f>$AG42/12</f>
        <v>54.450368941579121</v>
      </c>
      <c r="BT35" s="104">
        <f>$AG42/12</f>
        <v>54.450368941579121</v>
      </c>
      <c r="BU35" s="104">
        <f>$AG42/12</f>
        <v>54.450368941579121</v>
      </c>
      <c r="BV35" s="120">
        <f>$AG42/12</f>
        <v>54.450368941579121</v>
      </c>
      <c r="BY35" s="196">
        <f t="shared" ref="BY35:CE35" si="28">$AG42/12</f>
        <v>54.450368941579121</v>
      </c>
      <c r="BZ35" s="104">
        <f t="shared" si="28"/>
        <v>54.450368941579121</v>
      </c>
      <c r="CA35" s="104">
        <f t="shared" si="28"/>
        <v>54.450368941579121</v>
      </c>
      <c r="CB35" s="104">
        <f t="shared" si="28"/>
        <v>54.450368941579121</v>
      </c>
      <c r="CC35" s="104">
        <f t="shared" si="28"/>
        <v>54.450368941579121</v>
      </c>
      <c r="CD35" s="104">
        <f t="shared" si="28"/>
        <v>54.450368941579121</v>
      </c>
      <c r="CE35" s="132">
        <f t="shared" si="28"/>
        <v>54.450368941579121</v>
      </c>
      <c r="CF35" s="201">
        <f t="shared" si="20"/>
        <v>653.40442729894949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15</v>
      </c>
      <c r="BA36" s="176">
        <f>BA11/365*$AZ36</f>
        <v>2003.4246575342468</v>
      </c>
      <c r="BB36" s="177">
        <f>BB11/365*$AZ36</f>
        <v>2604.4520547945208</v>
      </c>
      <c r="BC36" s="178">
        <f>BC11/365*$AZ36</f>
        <v>3125.3424657534247</v>
      </c>
      <c r="BO36" s="63" t="s">
        <v>229</v>
      </c>
      <c r="BP36" s="64"/>
      <c r="BQ36" s="64"/>
      <c r="BR36" s="65">
        <f>SUM(BR24:BR29,BR34:BR35)</f>
        <v>17388.82536894158</v>
      </c>
      <c r="BS36" s="65">
        <f>SUM(BS24:BS29,BS34:BS35)</f>
        <v>3728.8253689415792</v>
      </c>
      <c r="BT36" s="65">
        <f>SUM(BT24:BT29,BT34:BT35)</f>
        <v>3728.8253689415792</v>
      </c>
      <c r="BU36" s="65">
        <f>SUM(BU24:BU29,BU34:BU35)</f>
        <v>3728.8253689415792</v>
      </c>
      <c r="BV36" s="66">
        <f>SUM(BV24:BV29,BV34:BV35)</f>
        <v>3728.8253689415792</v>
      </c>
      <c r="BY36" s="197">
        <f t="shared" ref="BY36:CE36" si="29">SUM(BY24:BY29,BY34:BY35)</f>
        <v>3728.8253689415792</v>
      </c>
      <c r="BZ36" s="65">
        <f t="shared" si="29"/>
        <v>3728.8253689415792</v>
      </c>
      <c r="CA36" s="65">
        <f t="shared" si="29"/>
        <v>3728.8253689415792</v>
      </c>
      <c r="CB36" s="65">
        <f t="shared" si="29"/>
        <v>3728.8253689415792</v>
      </c>
      <c r="CC36" s="65">
        <f t="shared" si="29"/>
        <v>3728.8253689415792</v>
      </c>
      <c r="CD36" s="65">
        <f t="shared" si="29"/>
        <v>3728.8253689415792</v>
      </c>
      <c r="CE36" s="131">
        <f t="shared" si="29"/>
        <v>3728.8253689415792</v>
      </c>
      <c r="CF36" s="200">
        <f t="shared" si="20"/>
        <v>58405.904427298956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12000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19460</v>
      </c>
      <c r="BS37" s="65">
        <f>SUM(BS15:BS20)</f>
        <v>2600</v>
      </c>
      <c r="BT37" s="65">
        <f>SUM(BT15:BT20)</f>
        <v>3250</v>
      </c>
      <c r="BU37" s="65">
        <f>SUM(BU15:BU20)</f>
        <v>3900</v>
      </c>
      <c r="BV37" s="66">
        <f>SUM(BV15:BV20)</f>
        <v>4550</v>
      </c>
      <c r="BY37" s="197">
        <f t="shared" ref="BY37:CE37" si="30">SUM(BY15:BY20)</f>
        <v>4550</v>
      </c>
      <c r="BZ37" s="65">
        <f t="shared" si="30"/>
        <v>5200</v>
      </c>
      <c r="CA37" s="65">
        <f t="shared" si="30"/>
        <v>5200</v>
      </c>
      <c r="CB37" s="65">
        <f t="shared" si="30"/>
        <v>5200</v>
      </c>
      <c r="CC37" s="65">
        <f t="shared" si="30"/>
        <v>5200</v>
      </c>
      <c r="CD37" s="65">
        <f t="shared" si="30"/>
        <v>4550</v>
      </c>
      <c r="CE37" s="131">
        <f t="shared" si="30"/>
        <v>3250</v>
      </c>
      <c r="CF37" s="200">
        <f t="shared" ref="CF37" si="31">SUM(BR37:CE37)</f>
        <v>66910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12000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2071.1746310584203</v>
      </c>
      <c r="BT38" s="104">
        <f>BS40</f>
        <v>942.34926211684115</v>
      </c>
      <c r="BU38" s="104">
        <f>BT40</f>
        <v>463.52389317526195</v>
      </c>
      <c r="BV38" s="159">
        <f>BU40</f>
        <v>634.69852423368275</v>
      </c>
      <c r="BY38" s="196">
        <f>BV40</f>
        <v>1455.8731552921035</v>
      </c>
      <c r="BZ38" s="104">
        <f t="shared" ref="BZ38:CE38" si="32">BY40</f>
        <v>2277.0477863505243</v>
      </c>
      <c r="CA38" s="104">
        <f t="shared" si="32"/>
        <v>3748.2224174089451</v>
      </c>
      <c r="CB38" s="104">
        <f t="shared" si="32"/>
        <v>5219.3970484673664</v>
      </c>
      <c r="CC38" s="104">
        <f t="shared" si="32"/>
        <v>6690.5716795257867</v>
      </c>
      <c r="CD38" s="104">
        <f t="shared" si="32"/>
        <v>8161.7463105842071</v>
      </c>
      <c r="CE38" s="132">
        <f t="shared" si="32"/>
        <v>8982.9209416426274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27000</v>
      </c>
      <c r="AW39" s="166" t="s">
        <v>189</v>
      </c>
      <c r="AX39" s="165"/>
      <c r="AY39" s="64"/>
      <c r="AZ39" s="167"/>
      <c r="BA39" s="173">
        <f>BA36-BA38</f>
        <v>2003.4246575342468</v>
      </c>
      <c r="BB39" s="174">
        <f>BB36-BB38</f>
        <v>2604.4520547945208</v>
      </c>
      <c r="BC39" s="175">
        <f>BC36-BC38</f>
        <v>3125.3424657534247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2071.1746310584203</v>
      </c>
      <c r="BS39" s="57">
        <f t="shared" ref="BS39:CE39" si="33">BS37-BS36</f>
        <v>-1128.8253689415792</v>
      </c>
      <c r="BT39" s="57">
        <f t="shared" si="33"/>
        <v>-478.8253689415792</v>
      </c>
      <c r="BU39" s="57">
        <f t="shared" si="33"/>
        <v>171.1746310584208</v>
      </c>
      <c r="BV39" s="68">
        <f t="shared" si="33"/>
        <v>821.1746310584208</v>
      </c>
      <c r="BW39" s="1"/>
      <c r="BX39" s="1"/>
      <c r="BY39" s="215">
        <f t="shared" si="33"/>
        <v>821.1746310584208</v>
      </c>
      <c r="BZ39" s="57">
        <f t="shared" si="33"/>
        <v>1471.1746310584208</v>
      </c>
      <c r="CA39" s="57">
        <f t="shared" si="33"/>
        <v>1471.1746310584208</v>
      </c>
      <c r="CB39" s="57">
        <f t="shared" si="33"/>
        <v>1471.1746310584208</v>
      </c>
      <c r="CC39" s="57">
        <f t="shared" si="33"/>
        <v>1471.1746310584208</v>
      </c>
      <c r="CD39" s="57">
        <f t="shared" si="33"/>
        <v>821.1746310584208</v>
      </c>
      <c r="CE39" s="74">
        <f t="shared" si="33"/>
        <v>-478.8253689415792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6160</v>
      </c>
      <c r="T40" s="107" t="s">
        <v>148</v>
      </c>
      <c r="U40" s="34"/>
      <c r="V40" s="34"/>
      <c r="W40" s="34"/>
      <c r="X40" s="110">
        <f>SUM(X42:X46)</f>
        <v>2200</v>
      </c>
      <c r="Y40" s="110">
        <f>SUM(Y42:Y46)</f>
        <v>2200</v>
      </c>
      <c r="Z40" s="237">
        <f>SUM(Z42:Z46)</f>
        <v>2200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5362.5</v>
      </c>
      <c r="AH40" s="104">
        <f>IF('Données à saisir'!C136="Oui",'Données à saisir'!H147,'Données à saisir'!C147)</f>
        <v>13879.124999999998</v>
      </c>
      <c r="AI40" s="120">
        <f>IF('Données à saisir'!C136="Oui",'Données à saisir'!I147,'Données à saisir'!D147)</f>
        <v>16654.949999999997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2071.1746310584203</v>
      </c>
      <c r="BS40" s="65">
        <f>BS38+BS39</f>
        <v>942.34926211684115</v>
      </c>
      <c r="BT40" s="65">
        <f>BT38+BT39</f>
        <v>463.52389317526195</v>
      </c>
      <c r="BU40" s="65">
        <f>BU38+BU39</f>
        <v>634.69852423368275</v>
      </c>
      <c r="BV40" s="66">
        <f t="shared" ref="BV40:CE40" si="34">BV38+BV39</f>
        <v>1455.8731552921035</v>
      </c>
      <c r="BY40" s="197">
        <f t="shared" si="34"/>
        <v>2277.0477863505243</v>
      </c>
      <c r="BZ40" s="65">
        <f t="shared" si="34"/>
        <v>3748.2224174089451</v>
      </c>
      <c r="CA40" s="65">
        <f t="shared" si="34"/>
        <v>5219.3970484673664</v>
      </c>
      <c r="CB40" s="65">
        <f t="shared" si="34"/>
        <v>6690.5716795257867</v>
      </c>
      <c r="CC40" s="65">
        <f t="shared" si="34"/>
        <v>8161.7463105842071</v>
      </c>
      <c r="CD40" s="65">
        <f t="shared" si="34"/>
        <v>8982.9209416426274</v>
      </c>
      <c r="CE40" s="131">
        <f t="shared" si="34"/>
        <v>8504.0955727010478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3.2000000000000001E-2</v>
      </c>
      <c r="O41" s="96">
        <f>IF(ISBLANK('Données à saisir'!D61),"",'Données à saisir'!D61)</f>
        <v>84</v>
      </c>
      <c r="Q41" s="42">
        <f>IF(ISBLANK('Données à saisir'!B61),0,'Données à saisir'!B61)</f>
        <v>6160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5537.5</v>
      </c>
      <c r="AH41" s="65">
        <f t="shared" ref="AH41:AI41" si="35">AH35-SUM(AH36:AH40)</f>
        <v>3275.875</v>
      </c>
      <c r="AI41" s="66">
        <f t="shared" si="35"/>
        <v>7385.0500000000029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653.40442729894949</v>
      </c>
      <c r="AH42" s="57">
        <f>'Données à saisir'!C90+SUM('Données à saisir'!H70:H72)</f>
        <v>663.40442729894949</v>
      </c>
      <c r="AI42" s="53">
        <f>'Données à saisir'!D90+SUM('Données à saisir'!I70:I72)</f>
        <v>673.40442729894949</v>
      </c>
      <c r="AL42" s="63" t="s">
        <v>160</v>
      </c>
      <c r="AM42" s="64"/>
      <c r="AN42" s="64"/>
      <c r="AO42" s="131">
        <f>AO27</f>
        <v>2552.0955727010505</v>
      </c>
      <c r="AP42" s="136"/>
      <c r="AQ42" s="131">
        <f>AQ27</f>
        <v>280.47057270105051</v>
      </c>
      <c r="AR42" s="136"/>
      <c r="AS42" s="128">
        <f>AS27</f>
        <v>4379.6455727010534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2332</v>
      </c>
      <c r="AH43" s="57">
        <f>'Données à saisir'!D39</f>
        <v>2332</v>
      </c>
      <c r="AI43" s="53">
        <f>'Données à saisir'!E39</f>
        <v>2332</v>
      </c>
      <c r="AL43" s="122" t="s">
        <v>161</v>
      </c>
      <c r="AM43" s="1"/>
      <c r="AN43" s="1"/>
      <c r="AO43" s="132">
        <f>AO22</f>
        <v>2332</v>
      </c>
      <c r="AP43" s="137"/>
      <c r="AQ43" s="132">
        <f>AQ22</f>
        <v>2332</v>
      </c>
      <c r="AR43" s="137"/>
      <c r="AS43" s="127">
        <f>AS22</f>
        <v>2332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1200</v>
      </c>
      <c r="Y44" s="113">
        <f>'Données à saisir'!D52</f>
        <v>1200</v>
      </c>
      <c r="Z44" s="236">
        <f>'Données à saisir'!E52</f>
        <v>1200</v>
      </c>
      <c r="AC44" s="63" t="s">
        <v>129</v>
      </c>
      <c r="AD44" s="64"/>
      <c r="AE44" s="64"/>
      <c r="AF44" s="64"/>
      <c r="AG44" s="65">
        <f>AG41-AG42-AG43</f>
        <v>2552.0955727010505</v>
      </c>
      <c r="AH44" s="65">
        <f t="shared" ref="AH44:AI44" si="37">AH41-AH42-AH43</f>
        <v>280.47057270105051</v>
      </c>
      <c r="AI44" s="66">
        <f t="shared" si="37"/>
        <v>4379.6455727010534</v>
      </c>
      <c r="AL44" s="63" t="s">
        <v>158</v>
      </c>
      <c r="AM44" s="64"/>
      <c r="AN44" s="64"/>
      <c r="AO44" s="131">
        <f>AO42+AO43</f>
        <v>4884.0955727010505</v>
      </c>
      <c r="AP44" s="136"/>
      <c r="AQ44" s="131">
        <f t="shared" ref="AQ44:AS44" si="38">AQ42+AQ43</f>
        <v>2612.4705727010505</v>
      </c>
      <c r="AR44" s="136"/>
      <c r="AS44" s="128">
        <f t="shared" si="38"/>
        <v>6711.6455727010534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200</v>
      </c>
      <c r="Y45" s="113">
        <f>'Données à saisir'!D53</f>
        <v>200</v>
      </c>
      <c r="Z45" s="236">
        <f>'Données à saisir'!E53</f>
        <v>200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880</v>
      </c>
      <c r="AP45" s="137"/>
      <c r="AQ45" s="132">
        <f>SUM('Données à saisir'!K70:K72)</f>
        <v>880</v>
      </c>
      <c r="AR45" s="137"/>
      <c r="AS45" s="127">
        <f>SUM('Données à saisir'!L70:L72)</f>
        <v>880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4004.0955727010505</v>
      </c>
      <c r="AP46" s="138"/>
      <c r="AQ46" s="133">
        <f>AQ44-AQ45</f>
        <v>1732.4705727010505</v>
      </c>
      <c r="AR46" s="138"/>
      <c r="AS46" s="129">
        <f>AS44-AS45</f>
        <v>5831.6455727010534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45026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2552.0955727010505</v>
      </c>
      <c r="AH47" s="65">
        <f t="shared" ref="AH47:AI47" si="39">AH44-SUM(AH45)</f>
        <v>280.47057270105051</v>
      </c>
      <c r="AI47" s="66">
        <f t="shared" si="39"/>
        <v>4379.6455727010534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18160</v>
      </c>
      <c r="T48" s="109" t="s">
        <v>149</v>
      </c>
      <c r="U48" s="108"/>
      <c r="V48" s="108"/>
      <c r="W48" s="108"/>
      <c r="X48" s="112">
        <f>SUM(X31,X40)</f>
        <v>2332</v>
      </c>
      <c r="Y48" s="112">
        <f>SUM(Y31,Y40)</f>
        <v>2332</v>
      </c>
      <c r="Z48" s="118">
        <f>SUM(Z31,Z40)</f>
        <v>2332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22914.595572701051</v>
      </c>
      <c r="AH52" s="90">
        <f>AH35-SUM(AH36:AH38,AH42:AH43)</f>
        <v>36159.595572701051</v>
      </c>
      <c r="AI52" s="90">
        <f>AI35-SUM(AI36:AI38,AI42:AI43)</f>
        <v>48034.595572701051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2023-04-10T09:36:23Z</dcterms:modified>
</cp:coreProperties>
</file>