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4223339F-9DBB-4120-9A0F-A96FAAD1F9EC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42" i="1" l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53" i="1"/>
  <c r="G53" i="1" s="1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G42" i="1" l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D147" i="1" s="1"/>
  <c r="X48" i="2"/>
  <c r="BA11" i="2"/>
  <c r="BA36" i="2" s="1"/>
  <c r="AI14" i="2"/>
  <c r="AS15" i="2" s="1"/>
  <c r="BR24" i="2"/>
  <c r="CF24" i="2" s="1"/>
  <c r="AI10" i="2"/>
  <c r="AS13" i="2" s="1"/>
  <c r="I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C147" i="1" l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<sst xmlns="http://schemas.openxmlformats.org/spreadsheetml/2006/main" count="451" uniqueCount="304">
  <si>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</si>
  <si>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</si>
  <si>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</si>
  <si>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</si>
  <si>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</si>
  <si>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</si>
  <si>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</si>
  <si>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</si>
  <si>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</si>
  <si>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</si>
  <si>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</si>
  <si>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</si>
  <si>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</si>
  <si>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</si>
  <si>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</si>
  <si>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</si>
  <si>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</si>
  <si>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</si>
  <si>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</si>
  <si>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</si>
  <si>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</si>
  <si>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</si>
  <si>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</si>
  <si>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</si>
  <si>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</si>
  <si>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</si>
  <si>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</si>
  <si>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</si>
  <si>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</si>
  <si>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</si>
  <si>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</si>
  <si>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</si>
  <si>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</si>
  <si>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</si>
  <si>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</si>
  <si>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</si>
  <si>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</si>
  <si>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</si>
  <si>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</si>
  <si>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</si>
  <si>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</si>
  <si>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</si>
  <si>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</si>
  <si>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</si>
  <si>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</si>
  <si>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</si>
  <si>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</si>
  <si>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</si>
  <si>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</si>
  <si>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</si>
  <si>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</si>
  <si>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</si>
  <si>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</si>
  <si>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</si>
  <si>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</si>
  <si>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</si>
  <si>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</si>
  <si>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</si>
  <si>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</si>
  <si>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</si>
  <si>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</si>
  <si>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</si>
  <si>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</si>
  <si>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</si>
  <si>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</si>
  <si>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</si>
  <si>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</si>
  <si>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</si>
  <si>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</si>
  <si>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</si>
  <si>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</si>
  <si>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</si>
  <si>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</si>
  <si>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</si>
  <si>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</si>
  <si>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</si>
  <si>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</si>
  <si>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</si>
  <si>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</si>
  <si>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</si>
  <si>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</si>
  <si>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</si>
  <si>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</si>
  <si>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</si>
  <si>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</si>
  <si>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</si>
  <si>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</si>
  <si>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</si>
  <si>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</si>
  <si>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</si>
  <si>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</si>
  <si>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</si>
  <si>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</si>
  <si>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</si>
  <si>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</si>
  <si>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</si>
  <si>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</si>
  <si>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</si>
  <si>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</si>
  <si>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</si>
  <si>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</si>
  <si>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</si>
  <si>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</si>
  <si>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</si>
  <si>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</si>
  <si>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</si>
  <si>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</si>
  <si>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</si>
  <si>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</si>
  <si>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</si>
  <si>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</si>
  <si>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</si>
  <si>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</si>
  <si>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</si>
  <si>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</si>
  <si>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</si>
  <si>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</si>
  <si>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</si>
  <si>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</si>
  <si>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</si>
  <si>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</si>
  <si>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</si>
  <si>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</si>
  <si>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</si>
  <si>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</si>
  <si>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</si>
  <si>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</si>
  <si>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</si>
  <si>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</si>
  <si>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</si>
  <si>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</si>
  <si>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</si>
  <si>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</si>
  <si>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</si>
  <si>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</si>
  <si>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</si>
  <si>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</si>
  <si>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</si>
  <si>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</si>
  <si>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</si>
  <si>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</si>
  <si>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</si>
  <si>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</si>
  <si>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</si>
  <si>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</si>
  <si>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</si>
  <si>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</si>
  <si>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</si>
  <si>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</si>
  <si>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</si>
  <si>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</si>
  <si>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</si>
  <si>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</si>
  <si>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</si>
  <si>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</si>
  <si>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</si>
  <si>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</si>
  <si>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</si>
  <si>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</si>
  <si>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</si>
  <si>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</si>
  <si>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</si>
  <si>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</si>
  <si>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</si>
  <si>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</si>
  <si>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</si>
  <si>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</si>
  <si>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</si>
  <si>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</si>
  <si>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</si>
  <si>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</si>
  <si>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</si>
  <si>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</si>
  <si>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</si>
  <si>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</si>
  <si>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</si>
  <si>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</si>
  <si>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</si>
  <si>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</si>
  <si>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</si>
  <si>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</si>
  <si>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</si>
  <si>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</si>
  <si>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</si>
  <si>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</si>
  <si>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</si>
  <si>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</si>
  <si>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</si>
  <si>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</si>
  <si>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</si>
  <si>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</si>
  <si>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</si>
  <si>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</si>
  <si>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</si>
  <si>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</si>
  <si>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</si>
  <si>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</si>
  <si>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</si>
  <si>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</si>
  <si>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</si>
  <si>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</si>
  <si>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</si>
  <si>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</si>
  <si>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</si>
  <si>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</si>
  <si>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</si>
  <si>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</si>
  <si>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</si>
  <si>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</si>
  <si>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</si>
  <si>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</si>
  <si>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</si>
  <si>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</si>
  <si>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</si>
  <si>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</si>
  <si>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</si>
  <si>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</si>
  <si>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</si>
  <si>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</si>
  <si>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</si>
  <si>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</si>
  <si>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</si>
  <si>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</si>
  <si>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</si>
  <si>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</si>
  <si>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</si>
  <si>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</si>
  <si>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</si>
  <si>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</si>
  <si>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</si>
  <si>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</si>
  <si>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</si>
  <si>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</si>
  <si>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</si>
  <si>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</si>
  <si>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</si>
  <si>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</si>
  <si>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</si>
  <si>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</si>
  <si>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</si>
  <si>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</si>
  <si>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</si>
  <si>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</si>
  <si>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</si>
  <si>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</si>
  <si>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</si>
  <si>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</si>
  <si>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</si>
  <si>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</si>
  <si>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</si>
  <si>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</si>
  <si>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</si>
  <si>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</si>
  <si>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</si>
  <si>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</si>
  <si>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</si>
  <si>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</si>
  <si>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</si>
  <si>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</si>
  <si>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</si>
  <si>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</si>
  <si>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</si>
  <si>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</si>
  <si>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</si>
  <si>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</si>
  <si>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</si>
  <si>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</si>
  <si>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</si>
  <si>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</si>
  <si>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</si>
  <si>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</si>
  <si>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</si>
  <si>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</si>
  <si>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</si>
  <si>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</si>
  <si>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</si>
  <si>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</si>
  <si>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</si>
  <si>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</si>
  <si>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</si>
  <si>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</si>
  <si>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</si>
  <si>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</si>
  <si>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</si>
  <si>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</si>
  <si>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</si>
  <si>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</si>
  <si>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</si>
  <si>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</si>
  <si>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</si>
  <si>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</si>
  <si>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</si>
  <si>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</si>
  <si>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</si>
  <si>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</si>
  <si>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</si>
  <si>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</si>
  <si>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</si>
  <si>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</si>
  <si>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</si>
  <si>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</si>
  <si>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Orthophoniste</t>
  </si>
  <si>
    <t>Sacem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</si>
  <si>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Prestations libérales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</si>
</sst>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281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8"/>
      <c r="C6" s="288"/>
      <c r="G6" s="232"/>
      <c r="H6" s="287" t="s">
        <v>293</v>
      </c>
      <c r="I6" s="287"/>
      <c r="J6" t="s">
        <v>111</v>
      </c>
    </row>
    <row r="7" spans="1:14" ht="15.1" customHeight="1" x14ac:dyDescent="0.25">
      <c r="A7" s="275" t="s">
        <v>262</v>
      </c>
      <c r="B7" s="288" t="s">
        <v>301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248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92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/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1500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/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1500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4000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/>
      <c r="C32" s="5" t="s">
        <v>17</v>
      </c>
    </row>
    <row r="33" spans="1:13" ht="15.25" thickBot="1" x14ac:dyDescent="0.3">
      <c r="A33" s="276" t="s">
        <v>40</v>
      </c>
      <c r="B33" s="255">
        <v>1500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15660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12660</v>
      </c>
      <c r="C39" s="116">
        <f t="shared" ref="C39:C54" si="0">IF(ISERROR($B39/$C$36),0,$B39/$C$36)</f>
        <v>2532</v>
      </c>
      <c r="D39" s="116">
        <f>IF($B39&gt;(SUM(C39:$C39)),IF(ISERROR($B39/$C$36),"",$B39/$C$36),0)</f>
        <v>2532</v>
      </c>
      <c r="E39" s="116">
        <f>IF($B39&gt;(SUM($C39:D39)),IF(ISERROR($B39/$C$36),"",$B39/$C$36),0)</f>
        <v>2532</v>
      </c>
      <c r="F39" s="116">
        <f>IF($B39&gt;(SUM($C39:E39)),IF(ISERROR($B39/$C$36),"",$B39/$C$36),0)</f>
        <v>2532</v>
      </c>
      <c r="G39" s="116">
        <f>IF($B39&gt;(SUM($C39:F39)),IF(ISERROR($B39/$C$36),"",$B39/$C$36),0)</f>
        <v>2532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12660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</v>
      </c>
      <c r="C40" s="75">
        <f t="shared" si="0"/>
        <v>12</v>
      </c>
      <c r="D40" s="75">
        <f>IF($B40&gt;(SUM(C40:$C40)),IF(ISERROR($B40/$C$36),"",$B40/$C$36),0)</f>
        <v>12</v>
      </c>
      <c r="E40" s="75">
        <f>IF($B40&gt;(SUM($C40:D40)),IF(ISERROR($B40/$C$36),"",$B40/$C$36),0)</f>
        <v>12</v>
      </c>
      <c r="F40" s="75">
        <f>IF($B40&gt;(SUM($C40:E40)),IF(ISERROR($B40/$C$36),"",$B40/$C$36),0)</f>
        <v>12</v>
      </c>
      <c r="G40" s="75">
        <f>IF($B40&gt;(SUM($C40:F40)),IF(ISERROR($B40/$C$36),"",$B40/$C$36),0)</f>
        <v>12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60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1500</v>
      </c>
      <c r="C50" s="75">
        <f t="shared" si="0"/>
        <v>300</v>
      </c>
      <c r="D50" s="75">
        <f>IF($B50&gt;(SUM(C50:$C50)),IF(ISERROR($B50/$C$36),"",$B50/$C$36),0)</f>
        <v>300</v>
      </c>
      <c r="E50" s="75">
        <f>IF($B50&gt;(SUM($C50:D50)),IF(ISERROR($B50/$C$36),"",$B50/$C$36),0)</f>
        <v>300</v>
      </c>
      <c r="F50" s="75">
        <f>IF($B50&gt;(SUM($C50:E50)),IF(ISERROR($B50/$C$36),"",$B50/$C$36),0)</f>
        <v>300</v>
      </c>
      <c r="G50" s="75">
        <f>IF($B50&gt;(SUM($C50:F50)),IF(ISERROR($B50/$C$36),"",$B50/$C$36),0)</f>
        <v>300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4000</v>
      </c>
      <c r="C52" s="75">
        <f t="shared" si="0"/>
        <v>800</v>
      </c>
      <c r="D52" s="75">
        <f>IF($B52&gt;(SUM(C52:$C52)),IF(ISERROR($B52/$C$36),"",$B52/$C$36),0)</f>
        <v>800</v>
      </c>
      <c r="E52" s="75">
        <f>IF($B52&gt;(SUM($C52:D52)),IF(ISERROR($B52/$C$36),"",$B52/$C$36),0)</f>
        <v>800</v>
      </c>
      <c r="F52" s="75">
        <f>IF($B52&gt;(SUM($C52:E52)),IF(ISERROR($B52/$C$36),"",$B52/$C$36),0)</f>
        <v>800</v>
      </c>
      <c r="G52" s="75">
        <f>IF($B52&gt;(SUM($C52:F52)),IF(ISERROR($B52/$C$36),"",$B52/$C$36),0)</f>
        <v>800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4000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10660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v>5000</v>
      </c>
      <c r="C61" s="257">
        <v>0.03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15660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66.066500327308873</v>
      </c>
      <c r="C70" s="79">
        <f>B70*D61</f>
        <v>5549.586027493945</v>
      </c>
      <c r="D70" s="82">
        <f>IF(ISERROR(B61/D61),0,B61/D61)</f>
        <v>59.523809523809526</v>
      </c>
      <c r="E70" s="152">
        <f>B70-D70</f>
        <v>6.5426908034993474</v>
      </c>
      <c r="F70" s="80">
        <f>E70*D61</f>
        <v>549.58602749394515</v>
      </c>
      <c r="G70" s="153">
        <f>IF($D61&gt;12,$E70*12,$E70*$D61)</f>
        <v>78.512289641992169</v>
      </c>
      <c r="H70" s="153">
        <f>IF($D61-12&lt;0,0,IF($D61&gt;24,$E70*12,($D61-12)*$E70))</f>
        <v>78.512289641992169</v>
      </c>
      <c r="I70" s="153">
        <f>IF($D61-24&lt;0,0,IF($D61&gt;36,$E70*12,($D61-24)*$E70))</f>
        <v>78.512289641992169</v>
      </c>
      <c r="J70" s="153">
        <f>IF($D61&gt;12,$D70*12,$D70*$D61)</f>
        <v>714.28571428571433</v>
      </c>
      <c r="K70" s="153">
        <f>IF($D61-12&lt;0,0,IF($D61&gt;24,$D70*12,($D61-12)*$D70))</f>
        <v>714.28571428571433</v>
      </c>
      <c r="L70" s="153">
        <f>IF($D61-24&lt;0,0,IF($D61&gt;36,$D70*12,($D61-24)*$D70))</f>
        <v>714.28571428571433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78.512289641992169</v>
      </c>
      <c r="J73" s="203">
        <f t="shared" si="17"/>
        <v>714.28571428571433</v>
      </c>
      <c r="K73" s="203">
        <f t="shared" si="17"/>
        <v>714.28571428571433</v>
      </c>
      <c r="L73" s="203">
        <f t="shared" si="17"/>
        <v>714.28571428571433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600</v>
      </c>
      <c r="C77" s="260">
        <v>650</v>
      </c>
      <c r="D77" s="261">
        <v>700</v>
      </c>
    </row>
    <row r="78" spans="1:12" ht="15.1" customHeight="1" x14ac:dyDescent="0.25">
      <c r="A78" s="276" t="s">
        <v>21</v>
      </c>
      <c r="B78" s="259">
        <v>800</v>
      </c>
      <c r="C78" s="260">
        <v>800</v>
      </c>
      <c r="D78" s="261">
        <v>850</v>
      </c>
      <c r="G78" s="233"/>
      <c r="H78" s="233"/>
    </row>
    <row r="79" spans="1:12" ht="15.1" customHeight="1" x14ac:dyDescent="0.25">
      <c r="A79" s="276" t="s">
        <v>44</v>
      </c>
      <c r="B79" s="259">
        <v>150</v>
      </c>
      <c r="C79" s="260">
        <v>160</v>
      </c>
      <c r="D79" s="261">
        <v>170</v>
      </c>
      <c r="G79" s="233"/>
      <c r="H79" s="233"/>
    </row>
    <row r="80" spans="1:12" ht="15.1" customHeight="1" x14ac:dyDescent="0.25">
      <c r="A80" s="276" t="s">
        <v>261</v>
      </c>
      <c r="B80" s="259">
        <v>700</v>
      </c>
      <c r="C80" s="260">
        <v>900</v>
      </c>
      <c r="D80" s="261">
        <v>950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3200</v>
      </c>
      <c r="C82" s="260">
        <v>3500</v>
      </c>
      <c r="D82" s="261">
        <v>3700</v>
      </c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900</v>
      </c>
      <c r="D84" s="261">
        <v>1000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800</v>
      </c>
      <c r="C87" s="260">
        <v>800</v>
      </c>
      <c r="D87" s="261">
        <v>800</v>
      </c>
      <c r="E87" s="5"/>
      <c r="G87" s="233"/>
      <c r="H87" s="233"/>
    </row>
    <row r="88" spans="1:8" x14ac:dyDescent="0.25">
      <c r="A88" s="276" t="s">
        <v>29</v>
      </c>
      <c r="B88" s="259">
        <v>17000</v>
      </c>
      <c r="C88" s="260">
        <v>17500</v>
      </c>
      <c r="D88" s="261">
        <v>18000</v>
      </c>
      <c r="E88" s="5"/>
    </row>
    <row r="89" spans="1:8" x14ac:dyDescent="0.25">
      <c r="A89" s="276" t="s">
        <v>30</v>
      </c>
      <c r="B89" s="259"/>
      <c r="C89" s="260"/>
      <c r="D89" s="261"/>
      <c r="E89" s="5"/>
    </row>
    <row r="90" spans="1:8" x14ac:dyDescent="0.25">
      <c r="A90" s="276" t="s">
        <v>31</v>
      </c>
      <c r="B90" s="259">
        <v>700</v>
      </c>
      <c r="C90" s="260">
        <v>800</v>
      </c>
      <c r="D90" s="261">
        <v>900</v>
      </c>
      <c r="E90" s="5"/>
    </row>
    <row r="91" spans="1:8" x14ac:dyDescent="0.25">
      <c r="A91" s="276" t="s">
        <v>45</v>
      </c>
      <c r="B91" s="259"/>
      <c r="C91" s="260">
        <v>900</v>
      </c>
      <c r="D91" s="261">
        <v>950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302</v>
      </c>
      <c r="B93" s="259">
        <v>270</v>
      </c>
      <c r="C93" s="260">
        <v>270</v>
      </c>
      <c r="D93" s="261">
        <v>270</v>
      </c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25020</v>
      </c>
      <c r="C97" s="10">
        <f>SUM(C77:C95)</f>
        <v>27180</v>
      </c>
      <c r="D97" s="10">
        <f>SUM(D77:D95)</f>
        <v>28290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303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/>
      <c r="C103" s="255"/>
      <c r="D103" s="12">
        <f>B103*C103</f>
        <v>0</v>
      </c>
      <c r="F103" s="281" t="s">
        <v>208</v>
      </c>
      <c r="G103" s="262">
        <v>20</v>
      </c>
      <c r="H103" s="255">
        <v>150</v>
      </c>
      <c r="I103" s="12">
        <f>G103*H103</f>
        <v>3000</v>
      </c>
    </row>
    <row r="104" spans="1:9" x14ac:dyDescent="0.25">
      <c r="A104" s="279" t="s">
        <v>209</v>
      </c>
      <c r="B104" s="262"/>
      <c r="C104" s="255"/>
      <c r="D104" s="12">
        <f t="shared" ref="D104:D114" si="18">B104*C104</f>
        <v>0</v>
      </c>
      <c r="F104" s="282" t="s">
        <v>209</v>
      </c>
      <c r="G104" s="262">
        <v>20</v>
      </c>
      <c r="H104" s="255">
        <v>200</v>
      </c>
      <c r="I104" s="12">
        <f t="shared" ref="I104:I114" si="19">G104*H104</f>
        <v>4000</v>
      </c>
    </row>
    <row r="105" spans="1:9" x14ac:dyDescent="0.25">
      <c r="A105" s="279" t="s">
        <v>210</v>
      </c>
      <c r="B105" s="262"/>
      <c r="C105" s="255"/>
      <c r="D105" s="12">
        <f t="shared" si="18"/>
        <v>0</v>
      </c>
      <c r="F105" s="282" t="s">
        <v>210</v>
      </c>
      <c r="G105" s="262">
        <v>20</v>
      </c>
      <c r="H105" s="255">
        <v>200</v>
      </c>
      <c r="I105" s="12">
        <f t="shared" si="19"/>
        <v>4000</v>
      </c>
    </row>
    <row r="106" spans="1:9" x14ac:dyDescent="0.25">
      <c r="A106" s="279" t="s">
        <v>215</v>
      </c>
      <c r="B106" s="262"/>
      <c r="C106" s="255"/>
      <c r="D106" s="12">
        <f t="shared" si="18"/>
        <v>0</v>
      </c>
      <c r="F106" s="282" t="s">
        <v>215</v>
      </c>
      <c r="G106" s="262">
        <v>20</v>
      </c>
      <c r="H106" s="255">
        <v>250</v>
      </c>
      <c r="I106" s="12">
        <f t="shared" si="19"/>
        <v>5000</v>
      </c>
    </row>
    <row r="107" spans="1:9" x14ac:dyDescent="0.25">
      <c r="A107" s="279" t="s">
        <v>217</v>
      </c>
      <c r="B107" s="262"/>
      <c r="C107" s="255"/>
      <c r="D107" s="12">
        <f t="shared" si="18"/>
        <v>0</v>
      </c>
      <c r="F107" s="282" t="s">
        <v>217</v>
      </c>
      <c r="G107" s="262">
        <v>20</v>
      </c>
      <c r="H107" s="255">
        <v>250</v>
      </c>
      <c r="I107" s="12">
        <f t="shared" si="19"/>
        <v>5000</v>
      </c>
    </row>
    <row r="108" spans="1:9" x14ac:dyDescent="0.25">
      <c r="A108" s="279" t="s">
        <v>218</v>
      </c>
      <c r="B108" s="262"/>
      <c r="C108" s="255"/>
      <c r="D108" s="12">
        <f t="shared" si="18"/>
        <v>0</v>
      </c>
      <c r="F108" s="282" t="s">
        <v>218</v>
      </c>
      <c r="G108" s="262">
        <v>10</v>
      </c>
      <c r="H108" s="255">
        <v>300</v>
      </c>
      <c r="I108" s="12">
        <f t="shared" si="19"/>
        <v>3000</v>
      </c>
    </row>
    <row r="109" spans="1:9" x14ac:dyDescent="0.25">
      <c r="A109" s="279" t="s">
        <v>219</v>
      </c>
      <c r="B109" s="262"/>
      <c r="C109" s="255"/>
      <c r="D109" s="12">
        <f t="shared" si="18"/>
        <v>0</v>
      </c>
      <c r="F109" s="282" t="s">
        <v>219</v>
      </c>
      <c r="G109" s="262">
        <v>20</v>
      </c>
      <c r="H109" s="255">
        <v>300</v>
      </c>
      <c r="I109" s="12">
        <f t="shared" si="19"/>
        <v>6000</v>
      </c>
    </row>
    <row r="110" spans="1:9" x14ac:dyDescent="0.25">
      <c r="A110" s="279" t="s">
        <v>220</v>
      </c>
      <c r="B110" s="262"/>
      <c r="C110" s="255"/>
      <c r="D110" s="12">
        <f t="shared" si="18"/>
        <v>0</v>
      </c>
      <c r="F110" s="282" t="s">
        <v>220</v>
      </c>
      <c r="G110" s="262">
        <v>10</v>
      </c>
      <c r="H110" s="255">
        <v>350</v>
      </c>
      <c r="I110" s="12">
        <f t="shared" si="19"/>
        <v>3500</v>
      </c>
    </row>
    <row r="111" spans="1:9" x14ac:dyDescent="0.25">
      <c r="A111" s="279" t="s">
        <v>221</v>
      </c>
      <c r="B111" s="262"/>
      <c r="C111" s="255"/>
      <c r="D111" s="12">
        <f t="shared" si="18"/>
        <v>0</v>
      </c>
      <c r="F111" s="282" t="s">
        <v>221</v>
      </c>
      <c r="G111" s="262">
        <v>20</v>
      </c>
      <c r="H111" s="255">
        <v>350</v>
      </c>
      <c r="I111" s="12">
        <f t="shared" si="19"/>
        <v>7000</v>
      </c>
    </row>
    <row r="112" spans="1:9" x14ac:dyDescent="0.25">
      <c r="A112" s="279" t="s">
        <v>222</v>
      </c>
      <c r="B112" s="262"/>
      <c r="C112" s="255"/>
      <c r="D112" s="12">
        <f t="shared" si="18"/>
        <v>0</v>
      </c>
      <c r="F112" s="282" t="s">
        <v>222</v>
      </c>
      <c r="G112" s="262">
        <v>20</v>
      </c>
      <c r="H112" s="255">
        <v>350</v>
      </c>
      <c r="I112" s="12">
        <f t="shared" si="19"/>
        <v>7000</v>
      </c>
    </row>
    <row r="113" spans="1:9" x14ac:dyDescent="0.25">
      <c r="A113" s="279" t="s">
        <v>223</v>
      </c>
      <c r="B113" s="262"/>
      <c r="C113" s="255"/>
      <c r="D113" s="12">
        <f t="shared" si="18"/>
        <v>0</v>
      </c>
      <c r="F113" s="282" t="s">
        <v>223</v>
      </c>
      <c r="G113" s="262">
        <v>20</v>
      </c>
      <c r="H113" s="255">
        <v>350</v>
      </c>
      <c r="I113" s="12">
        <f t="shared" si="19"/>
        <v>7000</v>
      </c>
    </row>
    <row r="114" spans="1:9" ht="15.25" thickBot="1" x14ac:dyDescent="0.3">
      <c r="A114" s="279" t="s">
        <v>224</v>
      </c>
      <c r="B114" s="262"/>
      <c r="C114" s="255"/>
      <c r="D114" s="12">
        <f t="shared" si="18"/>
        <v>0</v>
      </c>
      <c r="F114" s="282" t="s">
        <v>224</v>
      </c>
      <c r="G114" s="262">
        <v>10</v>
      </c>
      <c r="H114" s="255">
        <v>350</v>
      </c>
      <c r="I114" s="12">
        <f t="shared" si="19"/>
        <v>3500</v>
      </c>
    </row>
    <row r="115" spans="1:9" ht="15.25" thickBot="1" x14ac:dyDescent="0.3">
      <c r="A115" s="14" t="s">
        <v>48</v>
      </c>
      <c r="D115" s="13">
        <f>SUM(D103:D114)</f>
        <v>0</v>
      </c>
      <c r="F115" s="205" t="s">
        <v>48</v>
      </c>
      <c r="I115" s="13">
        <f>SUM(I103:I114)</f>
        <v>58000</v>
      </c>
    </row>
    <row r="116" spans="1:9" x14ac:dyDescent="0.25">
      <c r="F116" s="26"/>
    </row>
    <row r="117" spans="1:9" ht="15.95" x14ac:dyDescent="0.3">
      <c r="A117" s="2" t="s">
        <v>56</v>
      </c>
      <c r="D117" s="263"/>
      <c r="F117" s="206" t="s">
        <v>119</v>
      </c>
      <c r="I117" s="263">
        <v>0.15</v>
      </c>
    </row>
    <row r="118" spans="1:9" ht="15.95" x14ac:dyDescent="0.3">
      <c r="A118" s="2" t="s">
        <v>57</v>
      </c>
      <c r="D118" s="263"/>
      <c r="F118" s="206" t="s">
        <v>118</v>
      </c>
      <c r="I118" s="263">
        <v>0.15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182</v>
      </c>
      <c r="D123" s="264"/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/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15000</v>
      </c>
      <c r="C134" s="260">
        <v>22000</v>
      </c>
      <c r="D134" s="261">
        <v>29000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130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12701.999999999998</v>
      </c>
      <c r="C141" s="71">
        <f>+'Plan financier à imprimer'!AH12*21.9%</f>
        <v>14607.299999999997</v>
      </c>
      <c r="D141" s="71">
        <f>+'Plan financier à imprimer'!AI12*21.9%</f>
        <v>16798.394999999997</v>
      </c>
      <c r="E141" s="93" t="s">
        <v>131</v>
      </c>
      <c r="F141" t="s">
        <v>1</v>
      </c>
      <c r="G141" s="245">
        <f>+'Plan financier à imprimer'!AG12*11%</f>
        <v>6380</v>
      </c>
      <c r="H141" s="247">
        <f>+'Plan financier à imprimer'!AH12*21.9%</f>
        <v>14607.299999999997</v>
      </c>
      <c r="I141" s="71">
        <f>+'Plan financier à imprimer'!AI12*21.9%</f>
        <v>16798.394999999997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9110.8463131074022</v>
      </c>
      <c r="C142" s="71">
        <f>IF('Plan financier à imprimer'!AH52*30%&lt;3456,3456,'Plan financier à imprimer'!AH52*30%)</f>
        <v>11072.846313107402</v>
      </c>
      <c r="D142" s="71">
        <f>IF('Plan financier à imprimer'!AI52*30%&lt;3456,3456,'Plan financier à imprimer'!AI52*30%)</f>
        <v>13741.346313107402</v>
      </c>
      <c r="F142" t="s">
        <v>110</v>
      </c>
      <c r="G142" s="245">
        <v>1305</v>
      </c>
      <c r="H142" s="248">
        <f>IF('Plan financier à imprimer'!AH52*32%&lt;3456,3456,'Plan financier à imprimer'!AH52*32%)</f>
        <v>11811.036067314562</v>
      </c>
      <c r="I142" s="72">
        <f>IF('Plan financier à imprimer'!AI52*32%&lt;3456,3456,'Plan financier à imprimer'!AI52*32%)</f>
        <v>14657.436067314562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9900</v>
      </c>
      <c r="D143" s="71">
        <f>IF(D134*45%&lt;3456,3456,D134*45%)</f>
        <v>13050</v>
      </c>
      <c r="F143" t="s">
        <v>109</v>
      </c>
      <c r="G143" s="245">
        <v>1305</v>
      </c>
      <c r="H143" s="248">
        <f>IF(C134*45%&lt;3456,3456,C134*45%)</f>
        <v>9900</v>
      </c>
      <c r="I143" s="72">
        <f>IF(D134*45%&lt;3456,3456,D134*45%)</f>
        <v>13050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9900</v>
      </c>
      <c r="D144" s="71">
        <f>IF(D134*45%&lt;3456,3456,D134*45%)</f>
        <v>13050</v>
      </c>
      <c r="F144" t="s">
        <v>111</v>
      </c>
      <c r="G144" s="245">
        <v>1305</v>
      </c>
      <c r="H144" s="248">
        <f>IF(C134*45%&lt;3456,3456,C134*45%)</f>
        <v>9900</v>
      </c>
      <c r="I144" s="72">
        <f>IF(D134*45%&lt;3456,3456,D134*45%)</f>
        <v>13050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15399.999999999998</v>
      </c>
      <c r="D145" s="71">
        <f t="shared" si="20"/>
        <v>20300</v>
      </c>
      <c r="F145" t="s">
        <v>112</v>
      </c>
      <c r="G145" s="245">
        <f>B134*33%</f>
        <v>4950</v>
      </c>
      <c r="H145" s="245">
        <f>C134*70%</f>
        <v>15399.999999999998</v>
      </c>
      <c r="I145" s="245">
        <f>D134*70%</f>
        <v>20300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15399.999999999998</v>
      </c>
      <c r="D146" s="71">
        <f t="shared" si="21"/>
        <v>20300</v>
      </c>
      <c r="F146" t="s">
        <v>113</v>
      </c>
      <c r="G146" s="245">
        <f>B134*33%</f>
        <v>4950</v>
      </c>
      <c r="H146" s="245">
        <f>C134*70%</f>
        <v>15399.999999999998</v>
      </c>
      <c r="I146" s="245">
        <f>D134*70%</f>
        <v>20300</v>
      </c>
    </row>
    <row r="147" spans="1:9" ht="15.1" hidden="1" x14ac:dyDescent="0.25">
      <c r="A147" s="1" t="s">
        <v>108</v>
      </c>
      <c r="B147" s="73">
        <f>SUMIF($A$140:$A$146,$B$8,B140:B146)</f>
        <v>12701.999999999998</v>
      </c>
      <c r="C147" s="73">
        <f>SUMIF($A$140:$A$146,$B$8,C140:C146)</f>
        <v>14607.299999999997</v>
      </c>
      <c r="D147" s="73">
        <f>SUMIF($A$140:$A$146,$B$8,D140:D146)</f>
        <v>16798.394999999997</v>
      </c>
      <c r="F147" s="1" t="s">
        <v>108</v>
      </c>
      <c r="G147" s="245">
        <f>SUMIF($A$140:$A$146,$B$8,G140:G146)</f>
        <v>6380</v>
      </c>
      <c r="H147" s="246">
        <f>SUMIF($A$140:$A$146,$B$8,H140:H146)</f>
        <v>14607.299999999997</v>
      </c>
      <c r="I147" s="246">
        <f>SUMIF($A$140:$A$146,$B$8,I140:I146)</f>
        <v>16798.394999999997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RDfuB4MAjWRBA7Z9GpHhJmLb9H6hh6hNMa5fzwaAkSTVoyev0niM8E3htF9YuZgKKuUR+6RJuqDv59GTKnR+Dw==" saltValue="NEevujgOFLzaRHqsjh4Rf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133</v>
      </c>
      <c r="L2" s="295"/>
      <c r="M2" s="295"/>
      <c r="N2" s="295"/>
      <c r="O2" s="295"/>
      <c r="P2" s="295"/>
      <c r="Q2" s="296"/>
      <c r="T2" s="294" t="s">
        <v>138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150</v>
      </c>
      <c r="AM2" s="295"/>
      <c r="AN2" s="295"/>
      <c r="AO2" s="295"/>
      <c r="AP2" s="295"/>
      <c r="AQ2" s="295"/>
      <c r="AR2" s="295"/>
      <c r="AS2" s="295"/>
      <c r="AT2" s="296"/>
      <c r="AW2" s="294" t="s">
        <v>174</v>
      </c>
      <c r="AX2" s="295"/>
      <c r="AY2" s="295"/>
      <c r="AZ2" s="295"/>
      <c r="BA2" s="295"/>
      <c r="BB2" s="295"/>
      <c r="BC2" s="296"/>
      <c r="BF2" s="294" t="s">
        <v>191</v>
      </c>
      <c r="BG2" s="295"/>
      <c r="BH2" s="295"/>
      <c r="BI2" s="295"/>
      <c r="BJ2" s="295"/>
      <c r="BK2" s="295"/>
      <c r="BL2" s="296"/>
      <c r="BO2" s="294" t="s">
        <v>207</v>
      </c>
      <c r="BP2" s="295"/>
      <c r="BQ2" s="295"/>
      <c r="BR2" s="295"/>
      <c r="BS2" s="295"/>
      <c r="BT2" s="295"/>
      <c r="BU2" s="295"/>
      <c r="BV2" s="296"/>
      <c r="BY2" s="294" t="s">
        <v>216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Orthophoniste</v>
      </c>
      <c r="T6" s="1" t="s">
        <v>68</v>
      </c>
      <c r="V6" s="3" t="str">
        <f>IF(ISBLANK('Données à saisir'!$B7),"",('Données à saisir'!$B7))</f>
        <v>Orthophoniste</v>
      </c>
      <c r="AC6" s="1" t="s">
        <v>68</v>
      </c>
      <c r="AE6" s="3" t="str">
        <f>IF(ISBLANK('Données à saisir'!$B7),"",('Données à saisir'!$B7))</f>
        <v>Orthophoniste</v>
      </c>
      <c r="AL6" s="1" t="s">
        <v>68</v>
      </c>
      <c r="AN6" s="3" t="str">
        <f>IF(ISBLANK('Données à saisir'!$B7),"",('Données à saisir'!$B7))</f>
        <v>Orthophoniste</v>
      </c>
      <c r="AW6" s="1" t="s">
        <v>68</v>
      </c>
      <c r="AY6" s="3" t="str">
        <f>IF(ISBLANK('Données à saisir'!$B7),"",('Données à saisir'!$B7))</f>
        <v>Orthophoniste</v>
      </c>
      <c r="BF6" s="1" t="s">
        <v>68</v>
      </c>
      <c r="BH6" s="3" t="str">
        <f>IF(ISBLANK('Données à saisir'!$B7),"",('Données à saisir'!$B7))</f>
        <v>Orthophoniste</v>
      </c>
      <c r="BO6" s="1" t="s">
        <v>68</v>
      </c>
      <c r="BQ6" s="3" t="str">
        <f>IF(ISBLANK('Données à saisir'!$B7),"",('Données à saisir'!$B7))</f>
        <v>Orthophoniste</v>
      </c>
      <c r="BV6" s="193" t="s">
        <v>214</v>
      </c>
      <c r="BY6" s="1" t="s">
        <v>68</v>
      </c>
      <c r="CA6" s="3" t="str">
        <f>IF(ISBLANK('Données à saisir'!$B7),"",('Données à saisir'!$B7))</f>
        <v>Orthophoniste</v>
      </c>
      <c r="CF6" s="193" t="s">
        <v>214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134</v>
      </c>
      <c r="L9" s="328"/>
      <c r="M9" s="328"/>
      <c r="N9" s="328"/>
      <c r="O9" s="328"/>
      <c r="P9" s="328"/>
      <c r="Q9" s="325" t="s">
        <v>74</v>
      </c>
      <c r="U9" s="1" t="s">
        <v>139</v>
      </c>
      <c r="X9" t="str">
        <f>C33</f>
        <v>Micro-entreprise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58000</v>
      </c>
      <c r="AH10" s="60">
        <f t="shared" ref="AH10:AI10" si="0">SUM(AH11:AH12)</f>
        <v>66700</v>
      </c>
      <c r="AI10" s="226">
        <f t="shared" si="0"/>
        <v>76705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Travailleur non salarié</v>
      </c>
      <c r="AC11" s="44" t="s">
        <v>121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5" t="s">
        <v>41</v>
      </c>
      <c r="AP11" s="305" t="s">
        <v>164</v>
      </c>
      <c r="AQ11" s="305" t="s">
        <v>42</v>
      </c>
      <c r="AR11" s="305" t="s">
        <v>164</v>
      </c>
      <c r="AS11" s="305" t="s">
        <v>43</v>
      </c>
      <c r="AT11" s="317" t="s">
        <v>164</v>
      </c>
      <c r="AW11" s="51" t="s">
        <v>192</v>
      </c>
      <c r="AX11" s="52"/>
      <c r="AY11" s="52"/>
      <c r="AZ11" s="52"/>
      <c r="BA11" s="60">
        <f>AG10</f>
        <v>58000</v>
      </c>
      <c r="BB11" s="60">
        <f>AH10</f>
        <v>66700</v>
      </c>
      <c r="BC11" s="226">
        <f>AI10</f>
        <v>76705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2160</v>
      </c>
      <c r="AC12" s="44" t="s">
        <v>122</v>
      </c>
      <c r="AG12" s="62">
        <f>'Données à saisir'!I115</f>
        <v>58000</v>
      </c>
      <c r="AH12" s="62">
        <f>AG12+AG12*'Données à saisir'!I117</f>
        <v>66700</v>
      </c>
      <c r="AI12" s="54">
        <f>AH12+AH12*'Données à saisir'!I118</f>
        <v>76705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151</v>
      </c>
      <c r="AM13" s="34"/>
      <c r="AN13" s="34"/>
      <c r="AO13" s="119">
        <f>AG10</f>
        <v>58000</v>
      </c>
      <c r="AP13" s="139">
        <v>1</v>
      </c>
      <c r="AQ13" s="119">
        <f>AH10</f>
        <v>66700</v>
      </c>
      <c r="AR13" s="140">
        <v>1</v>
      </c>
      <c r="AS13" s="119">
        <f>AI10</f>
        <v>76705</v>
      </c>
      <c r="AT13" s="141">
        <v>1</v>
      </c>
      <c r="AW13" s="123" t="s">
        <v>175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4"/>
      <c r="BK13" s="306"/>
      <c r="BL13" s="308"/>
      <c r="BR13" s="303" t="s">
        <v>208</v>
      </c>
      <c r="BS13" s="305" t="s">
        <v>209</v>
      </c>
      <c r="BT13" s="305" t="s">
        <v>210</v>
      </c>
      <c r="BU13" s="305" t="s">
        <v>215</v>
      </c>
      <c r="BV13" s="307" t="s">
        <v>217</v>
      </c>
      <c r="BY13" s="303" t="s">
        <v>218</v>
      </c>
      <c r="BZ13" s="305" t="s">
        <v>219</v>
      </c>
      <c r="CA13" s="305" t="s">
        <v>220</v>
      </c>
      <c r="CB13" s="305" t="s">
        <v>221</v>
      </c>
      <c r="CC13" s="305" t="s">
        <v>222</v>
      </c>
      <c r="CD13" s="305" t="s">
        <v>223</v>
      </c>
      <c r="CE13" s="309" t="s">
        <v>224</v>
      </c>
      <c r="CF13" s="311" t="s">
        <v>48</v>
      </c>
    </row>
    <row r="14" spans="2:84" ht="15.1" customHeight="1" x14ac:dyDescent="0.25">
      <c r="B14" s="321" t="s">
        <v>247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152</v>
      </c>
      <c r="AO14" s="104">
        <f>AG10</f>
        <v>58000</v>
      </c>
      <c r="AP14" s="142">
        <v>1</v>
      </c>
      <c r="AQ14" s="104">
        <f>AH10</f>
        <v>66700</v>
      </c>
      <c r="AR14" s="143">
        <v>1</v>
      </c>
      <c r="AS14" s="104">
        <f>AI10</f>
        <v>76705</v>
      </c>
      <c r="AT14" s="144">
        <v>1</v>
      </c>
      <c r="AW14" s="123" t="s">
        <v>176</v>
      </c>
      <c r="BA14" s="57">
        <f>BA11-BA13</f>
        <v>58000</v>
      </c>
      <c r="BB14" s="57">
        <f t="shared" ref="BB14:BC14" si="2">BB11-BB13</f>
        <v>66700</v>
      </c>
      <c r="BC14" s="53">
        <f t="shared" si="2"/>
        <v>76705</v>
      </c>
      <c r="BF14" s="186" t="s">
        <v>199</v>
      </c>
      <c r="BG14" s="52"/>
      <c r="BH14" s="52"/>
      <c r="BI14" s="52"/>
      <c r="BJ14" s="187">
        <f>Q12+Q23</f>
        <v>14160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143</v>
      </c>
      <c r="U15" s="52"/>
      <c r="V15" s="52"/>
      <c r="W15" s="52"/>
      <c r="X15" s="60">
        <f>'Données à saisir'!B134</f>
        <v>15000</v>
      </c>
      <c r="Y15" s="60">
        <f>'Données à saisir'!C134</f>
        <v>22000</v>
      </c>
      <c r="Z15" s="61">
        <f>'Données à saisir'!D134</f>
        <v>29000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193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264</v>
      </c>
      <c r="BJ15" s="104" t="str">
        <f>Q30</f>
        <v/>
      </c>
      <c r="BK15" s="104"/>
      <c r="BL15" s="120"/>
      <c r="BO15" s="192" t="s">
        <v>200</v>
      </c>
      <c r="BP15" s="52"/>
      <c r="BQ15" s="52"/>
      <c r="BR15" s="187">
        <f>BJ19</f>
        <v>10660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10660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0.46666666666666667</v>
      </c>
      <c r="Z16" s="103">
        <f>IF(ISERROR((Z15-Y15)/Y15),"",(Z15-Y15)/Y15)</f>
        <v>0.31818181818181818</v>
      </c>
      <c r="AC16" s="63" t="s">
        <v>125</v>
      </c>
      <c r="AD16" s="64"/>
      <c r="AE16" s="64"/>
      <c r="AF16" s="64"/>
      <c r="AG16" s="65">
        <f>AG10-AG13</f>
        <v>58000</v>
      </c>
      <c r="AH16" s="65">
        <f>AH10-AH13</f>
        <v>66700</v>
      </c>
      <c r="AI16" s="66">
        <f>AI10-AI13</f>
        <v>76705</v>
      </c>
      <c r="AL16" s="63" t="s">
        <v>154</v>
      </c>
      <c r="AM16" s="64"/>
      <c r="AN16" s="64"/>
      <c r="AO16" s="65">
        <f>AO14-AO15</f>
        <v>58000</v>
      </c>
      <c r="AP16" s="147">
        <f t="shared" ref="AP16:AP28" si="5">AO16/$AO$14</f>
        <v>1</v>
      </c>
      <c r="AQ16" s="65">
        <f t="shared" ref="AQ16:AS16" si="6">AQ14-AQ15</f>
        <v>66700</v>
      </c>
      <c r="AR16" s="148">
        <f t="shared" ref="AR16:AR28" si="7">AQ16/$AQ$14</f>
        <v>1</v>
      </c>
      <c r="AS16" s="65">
        <f t="shared" si="6"/>
        <v>76705</v>
      </c>
      <c r="AT16" s="150">
        <f t="shared" ref="AT16:AT28" si="8">AS16/$AS$14</f>
        <v>1</v>
      </c>
      <c r="AW16" s="123" t="s">
        <v>177</v>
      </c>
      <c r="BA16" s="104">
        <f>SUM(AO17,AO19,AO20,AO22,AO24)</f>
        <v>49010.512289641993</v>
      </c>
      <c r="BB16" s="104">
        <f>SUM(AQ17,AQ19,AQ20,AQ22,AQ24)</f>
        <v>66397.812289641981</v>
      </c>
      <c r="BC16" s="159">
        <f>SUM(AS17,AS19,AS20,AS22,AS24)</f>
        <v>76698.907289641982</v>
      </c>
      <c r="BF16" s="123" t="s">
        <v>197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201</v>
      </c>
      <c r="BR16" s="104">
        <f>BJ20</f>
        <v>5000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5000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6380</v>
      </c>
      <c r="Y17" s="57">
        <f>AH40</f>
        <v>14607.299999999997</v>
      </c>
      <c r="Z17" s="53">
        <f>AI40</f>
        <v>16798.394999999997</v>
      </c>
      <c r="AC17" s="37" t="s">
        <v>126</v>
      </c>
      <c r="AG17" s="57">
        <f>SUM(AG18:AG33)</f>
        <v>24320</v>
      </c>
      <c r="AH17" s="57">
        <f>SUM(AH18:AH33)</f>
        <v>25480</v>
      </c>
      <c r="AI17" s="68">
        <f>SUM(AI18:AI33)</f>
        <v>26440</v>
      </c>
      <c r="AL17" s="70" t="s">
        <v>81</v>
      </c>
      <c r="AO17" s="104">
        <f>AG17</f>
        <v>24320</v>
      </c>
      <c r="AP17" s="145">
        <f t="shared" si="5"/>
        <v>0.41931034482758622</v>
      </c>
      <c r="AQ17" s="104">
        <f>AH17</f>
        <v>25480</v>
      </c>
      <c r="AR17" s="149">
        <f t="shared" si="7"/>
        <v>0.38200899550224887</v>
      </c>
      <c r="AS17" s="104">
        <f>AI17</f>
        <v>26440</v>
      </c>
      <c r="AT17" s="146">
        <f t="shared" si="8"/>
        <v>0.34469721660908675</v>
      </c>
      <c r="AW17" s="63" t="s">
        <v>194</v>
      </c>
      <c r="AX17" s="64"/>
      <c r="AY17" s="64"/>
      <c r="AZ17" s="64"/>
      <c r="BA17" s="65">
        <f>BA12+BA16</f>
        <v>49010.512289641993</v>
      </c>
      <c r="BB17" s="65">
        <f t="shared" ref="BB17:BC17" si="9">BB12+BB16</f>
        <v>66397.812289641981</v>
      </c>
      <c r="BC17" s="66">
        <f t="shared" si="9"/>
        <v>76698.907289641982</v>
      </c>
      <c r="BF17" s="123" t="s">
        <v>198</v>
      </c>
      <c r="BJ17" s="104">
        <f>AO45</f>
        <v>714.28571428571433</v>
      </c>
      <c r="BK17" s="104">
        <f>AQ45</f>
        <v>714.28571428571433</v>
      </c>
      <c r="BL17" s="120">
        <f>AS45</f>
        <v>714.28571428571433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650</v>
      </c>
      <c r="AI18" s="54">
        <f>IF(ISBLANK('Données à saisir'!D77),0,'Données à saisir'!D77)</f>
        <v>700</v>
      </c>
      <c r="AL18" s="63" t="s">
        <v>127</v>
      </c>
      <c r="AM18" s="64"/>
      <c r="AN18" s="64"/>
      <c r="AO18" s="65">
        <f>AO16-AO17</f>
        <v>33680</v>
      </c>
      <c r="AP18" s="147">
        <f t="shared" si="5"/>
        <v>0.58068965517241378</v>
      </c>
      <c r="AQ18" s="65">
        <f t="shared" ref="AQ18:AS18" si="10">AQ16-AQ17</f>
        <v>41220</v>
      </c>
      <c r="AR18" s="148">
        <f t="shared" si="7"/>
        <v>0.61799100449775113</v>
      </c>
      <c r="AS18" s="65">
        <f t="shared" si="10"/>
        <v>50265</v>
      </c>
      <c r="AT18" s="150">
        <f t="shared" si="8"/>
        <v>0.65530278339091319</v>
      </c>
      <c r="AW18" s="123" t="s">
        <v>178</v>
      </c>
      <c r="BA18" s="104">
        <f>AG44</f>
        <v>8989.4877103580075</v>
      </c>
      <c r="BB18" s="104">
        <f>AH44</f>
        <v>302.18771035801228</v>
      </c>
      <c r="BC18" s="159">
        <f>AI44</f>
        <v>6.0927103580111179</v>
      </c>
      <c r="BF18" s="63" t="s">
        <v>196</v>
      </c>
      <c r="BG18" s="64"/>
      <c r="BH18" s="64"/>
      <c r="BI18" s="64"/>
      <c r="BJ18" s="188">
        <f>SUM(BJ14:BJ17)</f>
        <v>14874.285714285714</v>
      </c>
      <c r="BK18" s="189">
        <f>SUM(BK14:BK17)</f>
        <v>714.28571428571433</v>
      </c>
      <c r="BL18" s="190">
        <f>SUM(BL14:BL17)</f>
        <v>714.28571428571433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800</v>
      </c>
      <c r="AI19" s="54">
        <f>IF(ISBLANK('Données à saisir'!D78),0,'Données à saisir'!D78)</f>
        <v>850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900</v>
      </c>
      <c r="AR19" s="149">
        <f t="shared" si="7"/>
        <v>1.3493253373313344E-2</v>
      </c>
      <c r="AS19" s="104">
        <f>AI36</f>
        <v>950</v>
      </c>
      <c r="AT19" s="146">
        <f t="shared" si="8"/>
        <v>1.2385111791930121E-2</v>
      </c>
      <c r="AW19" s="63" t="s">
        <v>195</v>
      </c>
      <c r="AX19" s="64"/>
      <c r="AY19" s="64"/>
      <c r="AZ19" s="64"/>
      <c r="BA19" s="65">
        <f>IF(ISERROR(BA16/BA15),0,BA16/BA15)</f>
        <v>49010.512289641993</v>
      </c>
      <c r="BB19" s="65">
        <f t="shared" ref="BB19:BC19" si="11">IF(ISERROR(BB16/BB15),0,BB16/BB15)</f>
        <v>66397.812289641981</v>
      </c>
      <c r="BC19" s="66">
        <f t="shared" si="11"/>
        <v>76698.907289641982</v>
      </c>
      <c r="BF19" s="123" t="s">
        <v>200</v>
      </c>
      <c r="BJ19" s="104">
        <f>Q37</f>
        <v>10660</v>
      </c>
      <c r="BK19" s="104"/>
      <c r="BL19" s="159"/>
      <c r="BO19" s="192" t="s">
        <v>211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1500</v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150</v>
      </c>
      <c r="AH20" s="62">
        <f>IF(ISBLANK('Données à saisir'!C79),0,'Données à saisir'!C79)</f>
        <v>160</v>
      </c>
      <c r="AI20" s="54">
        <f>IF(ISBLANK('Données à saisir'!D79),0,'Données à saisir'!D79)</f>
        <v>170</v>
      </c>
      <c r="AL20" s="38" t="s">
        <v>153</v>
      </c>
      <c r="AM20" s="1"/>
      <c r="AN20" s="1"/>
      <c r="AO20" s="104">
        <f>SUM(AG37:AG40)</f>
        <v>21380</v>
      </c>
      <c r="AP20" s="145">
        <f t="shared" si="5"/>
        <v>0.36862068965517242</v>
      </c>
      <c r="AQ20" s="104">
        <f>SUM(AH37:AH40)</f>
        <v>36607.299999999996</v>
      </c>
      <c r="AR20" s="149">
        <f t="shared" si="7"/>
        <v>0.54883508245877055</v>
      </c>
      <c r="AS20" s="104">
        <f>SUM(AI37:AI40)</f>
        <v>45798.394999999997</v>
      </c>
      <c r="AT20" s="146">
        <f t="shared" si="8"/>
        <v>0.59707183364839311</v>
      </c>
      <c r="AW20" s="123" t="s">
        <v>179</v>
      </c>
      <c r="BA20" s="104">
        <f>BA11-BA19</f>
        <v>8989.4877103580075</v>
      </c>
      <c r="BB20" s="104">
        <f t="shared" ref="BB20:BC20" si="12">BB11-BB19</f>
        <v>302.1877103580191</v>
      </c>
      <c r="BC20" s="120">
        <f t="shared" si="12"/>
        <v>6.0927103580179391</v>
      </c>
      <c r="BF20" s="123" t="s">
        <v>201</v>
      </c>
      <c r="BJ20" s="104">
        <f>Q40</f>
        <v>5000</v>
      </c>
      <c r="BK20" s="104"/>
      <c r="BL20" s="159"/>
      <c r="BO20" s="123" t="s">
        <v>212</v>
      </c>
      <c r="BR20" s="104">
        <f>'Données à saisir'!I103</f>
        <v>3000</v>
      </c>
      <c r="BS20" s="104">
        <f>'Données à saisir'!I104</f>
        <v>4000</v>
      </c>
      <c r="BT20" s="104">
        <f>'Données à saisir'!I105</f>
        <v>4000</v>
      </c>
      <c r="BU20" s="104">
        <f>'Données à saisir'!I106</f>
        <v>5000</v>
      </c>
      <c r="BV20" s="159">
        <f>'Données à saisir'!I107</f>
        <v>5000</v>
      </c>
      <c r="BY20" s="196">
        <f>'Données à saisir'!I108</f>
        <v>3000</v>
      </c>
      <c r="BZ20" s="104">
        <f>'Données à saisir'!I109</f>
        <v>6000</v>
      </c>
      <c r="CA20" s="104">
        <f>'Données à saisir'!I110</f>
        <v>3500</v>
      </c>
      <c r="CB20" s="104">
        <f>'Données à saisir'!I111</f>
        <v>7000</v>
      </c>
      <c r="CC20" s="104">
        <f>'Données à saisir'!I112</f>
        <v>7000</v>
      </c>
      <c r="CD20" s="104">
        <f>'Données à saisir'!I113</f>
        <v>7000</v>
      </c>
      <c r="CE20" s="132">
        <f>'Données à saisir'!I114</f>
        <v>3500</v>
      </c>
      <c r="CF20" s="201">
        <f t="shared" ref="CF20:CF24" si="13">SUM(BR20:CE20)</f>
        <v>58000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700</v>
      </c>
      <c r="AH21" s="62">
        <f>IF(ISBLANK('Données à saisir'!C80),0,'Données à saisir'!C80)</f>
        <v>900</v>
      </c>
      <c r="AI21" s="54">
        <f>IF(ISBLANK('Données à saisir'!D80),0,'Données à saisir'!D80)</f>
        <v>950</v>
      </c>
      <c r="AL21" s="63" t="s">
        <v>128</v>
      </c>
      <c r="AM21" s="64"/>
      <c r="AN21" s="64"/>
      <c r="AO21" s="65">
        <f>AO18-AO19-AO20</f>
        <v>12300</v>
      </c>
      <c r="AP21" s="147">
        <f t="shared" si="5"/>
        <v>0.21206896551724139</v>
      </c>
      <c r="AQ21" s="65">
        <f t="shared" ref="AQ21:AS21" si="14">AQ18-AQ19-AQ20</f>
        <v>3712.7000000000044</v>
      </c>
      <c r="AR21" s="148">
        <f t="shared" si="7"/>
        <v>5.5662668665667235E-2</v>
      </c>
      <c r="AS21" s="65">
        <f t="shared" si="14"/>
        <v>3516.6050000000032</v>
      </c>
      <c r="AT21" s="150">
        <f t="shared" si="8"/>
        <v>4.5845837950589961E-2</v>
      </c>
      <c r="AW21" s="208" t="s">
        <v>180</v>
      </c>
      <c r="AX21" s="36"/>
      <c r="AY21" s="36"/>
      <c r="AZ21" s="36"/>
      <c r="BA21" s="156">
        <f>BA19/250</f>
        <v>196.04204915856798</v>
      </c>
      <c r="BB21" s="156">
        <f t="shared" ref="BB21:BC21" si="15">BB19/250</f>
        <v>265.5912491585679</v>
      </c>
      <c r="BC21" s="157">
        <f t="shared" si="15"/>
        <v>306.79562915856792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3000</v>
      </c>
      <c r="BS21" s="65">
        <f t="shared" ref="BS21:BV21" si="16">SUM(BS19:BS20)</f>
        <v>4000</v>
      </c>
      <c r="BT21" s="65">
        <f t="shared" si="16"/>
        <v>4000</v>
      </c>
      <c r="BU21" s="65">
        <f t="shared" si="16"/>
        <v>5000</v>
      </c>
      <c r="BV21" s="66">
        <f t="shared" si="16"/>
        <v>5000</v>
      </c>
      <c r="BY21" s="197">
        <f t="shared" ref="BY21:CE21" si="17">SUM(BY19:BY20)</f>
        <v>3000</v>
      </c>
      <c r="BZ21" s="65">
        <f t="shared" si="17"/>
        <v>6000</v>
      </c>
      <c r="CA21" s="65">
        <f t="shared" si="17"/>
        <v>3500</v>
      </c>
      <c r="CB21" s="65">
        <f t="shared" si="17"/>
        <v>7000</v>
      </c>
      <c r="CC21" s="65">
        <f t="shared" si="17"/>
        <v>7000</v>
      </c>
      <c r="CD21" s="65">
        <f t="shared" si="17"/>
        <v>7000</v>
      </c>
      <c r="CE21" s="131">
        <f t="shared" si="17"/>
        <v>3500</v>
      </c>
      <c r="CF21" s="200">
        <f t="shared" si="13"/>
        <v>58000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2532</v>
      </c>
      <c r="AP22" s="145">
        <f t="shared" si="5"/>
        <v>4.3655172413793103E-2</v>
      </c>
      <c r="AQ22" s="104">
        <f>AH43</f>
        <v>2532</v>
      </c>
      <c r="AR22" s="149">
        <f t="shared" si="7"/>
        <v>3.796101949025487E-2</v>
      </c>
      <c r="AS22" s="104">
        <f>AI43</f>
        <v>2532</v>
      </c>
      <c r="AT22" s="146">
        <f t="shared" si="8"/>
        <v>3.3009582165439019E-2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2160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2160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12000</v>
      </c>
      <c r="AC23" s="44" t="str">
        <f>'Données à saisir'!A82</f>
        <v>Eau, électricité, gaz</v>
      </c>
      <c r="AG23" s="62">
        <f>IF(ISBLANK('Données à saisir'!B82),0,'Données à saisir'!B82)</f>
        <v>3200</v>
      </c>
      <c r="AH23" s="62">
        <f>IF(ISBLANK('Données à saisir'!C82),0,'Données à saisir'!C82)</f>
        <v>3500</v>
      </c>
      <c r="AI23" s="54">
        <f>IF(ISBLANK('Données à saisir'!D82),0,'Données à saisir'!D82)</f>
        <v>3700</v>
      </c>
      <c r="AL23" s="63" t="s">
        <v>156</v>
      </c>
      <c r="AM23" s="64"/>
      <c r="AN23" s="64"/>
      <c r="AO23" s="65">
        <f>AO21-AO22</f>
        <v>9768</v>
      </c>
      <c r="AP23" s="147">
        <f t="shared" si="5"/>
        <v>0.16841379310344828</v>
      </c>
      <c r="AQ23" s="65">
        <f t="shared" ref="AQ23:AS23" si="18">AQ21-AQ22</f>
        <v>1180.7000000000044</v>
      </c>
      <c r="AR23" s="148">
        <f t="shared" si="7"/>
        <v>1.7701649175412358E-2</v>
      </c>
      <c r="AS23" s="65">
        <f t="shared" si="18"/>
        <v>984.6050000000032</v>
      </c>
      <c r="AT23" s="150">
        <f t="shared" si="8"/>
        <v>1.2836255785150944E-2</v>
      </c>
      <c r="AW23" s="4"/>
      <c r="BA23" s="99"/>
      <c r="BB23" s="99"/>
      <c r="BC23" s="99"/>
      <c r="BF23" s="123" t="s">
        <v>204</v>
      </c>
      <c r="BJ23" s="104">
        <f>AO44</f>
        <v>11521.487710358007</v>
      </c>
      <c r="BK23" s="104">
        <f>AQ44</f>
        <v>2834.1877103580123</v>
      </c>
      <c r="BL23" s="159">
        <f>AS44</f>
        <v>2538.0927103580111</v>
      </c>
      <c r="BO23" s="123" t="s">
        <v>70</v>
      </c>
      <c r="BR23" s="104">
        <f>Q23</f>
        <v>12000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12000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778.5122896419922</v>
      </c>
      <c r="AP24" s="145">
        <f t="shared" si="5"/>
        <v>1.3422625683482623E-2</v>
      </c>
      <c r="AQ24" s="104">
        <f>AH42</f>
        <v>878.5122896419922</v>
      </c>
      <c r="AR24" s="149">
        <f t="shared" si="7"/>
        <v>1.3171098795232266E-2</v>
      </c>
      <c r="AS24" s="104">
        <f>AI42</f>
        <v>978.5122896419922</v>
      </c>
      <c r="AT24" s="146">
        <f t="shared" si="8"/>
        <v>1.2756825365256401E-2</v>
      </c>
      <c r="BF24" s="63" t="s">
        <v>205</v>
      </c>
      <c r="BG24" s="64"/>
      <c r="BH24" s="64"/>
      <c r="BI24" s="64"/>
      <c r="BJ24" s="65">
        <f>SUM(BJ19:BJ23)</f>
        <v>27181.487710358007</v>
      </c>
      <c r="BK24" s="65">
        <f>SUM(BK19:BK23)</f>
        <v>2834.1877103580123</v>
      </c>
      <c r="BL24" s="66">
        <f>SUM(BL19:BL23)</f>
        <v>2538.0927103580111</v>
      </c>
      <c r="BO24" s="63" t="s">
        <v>225</v>
      </c>
      <c r="BP24" s="64"/>
      <c r="BQ24" s="64"/>
      <c r="BR24" s="65">
        <f>SUM(BR22:BR23)</f>
        <v>14160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14160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146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900</v>
      </c>
      <c r="AI25" s="54">
        <f>IF(ISBLANK('Données à saisir'!D84),0,'Données à saisir'!D84)</f>
        <v>1000</v>
      </c>
      <c r="AL25" s="38" t="s">
        <v>157</v>
      </c>
      <c r="AM25" s="1"/>
      <c r="AN25" s="1"/>
      <c r="AO25" s="104">
        <f>AO24*-1</f>
        <v>-778.5122896419922</v>
      </c>
      <c r="AP25" s="145">
        <f t="shared" si="5"/>
        <v>-1.3422625683482623E-2</v>
      </c>
      <c r="AQ25" s="104">
        <f t="shared" ref="AQ25:AS25" si="19">AQ24*-1</f>
        <v>-878.5122896419922</v>
      </c>
      <c r="AR25" s="149">
        <f t="shared" si="7"/>
        <v>-1.3171098795232266E-2</v>
      </c>
      <c r="AS25" s="104">
        <f t="shared" si="19"/>
        <v>-978.5122896419922</v>
      </c>
      <c r="AT25" s="146">
        <f t="shared" si="8"/>
        <v>-1.2756825365256401E-2</v>
      </c>
      <c r="BA25" s="90"/>
      <c r="BF25" s="123" t="s">
        <v>206</v>
      </c>
      <c r="BJ25" s="104">
        <f>BJ24-BJ18</f>
        <v>12307.201996072294</v>
      </c>
      <c r="BK25" s="104">
        <f>BK24-BK18</f>
        <v>2119.9019960722981</v>
      </c>
      <c r="BL25" s="120">
        <f>BL24-BL18</f>
        <v>1823.8069960722969</v>
      </c>
      <c r="BO25" s="123" t="s">
        <v>259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4000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159</v>
      </c>
      <c r="AM26" s="64"/>
      <c r="AN26" s="64"/>
      <c r="AO26" s="65">
        <f>AO23+AO25</f>
        <v>8989.4877103580075</v>
      </c>
      <c r="AP26" s="147">
        <f t="shared" si="5"/>
        <v>0.15499116741996566</v>
      </c>
      <c r="AQ26" s="65">
        <f t="shared" ref="AQ26:AS26" si="21">AQ23+AQ25</f>
        <v>302.18771035801217</v>
      </c>
      <c r="AR26" s="148">
        <f t="shared" si="7"/>
        <v>4.5305503801800926E-3</v>
      </c>
      <c r="AS26" s="65">
        <f t="shared" si="21"/>
        <v>6.0927103580110042</v>
      </c>
      <c r="AT26" s="150">
        <f t="shared" si="8"/>
        <v>7.9430419894544092E-5</v>
      </c>
      <c r="BF26" s="63" t="s">
        <v>260</v>
      </c>
      <c r="BG26" s="64"/>
      <c r="BH26" s="64"/>
      <c r="BI26" s="64"/>
      <c r="BJ26" s="65">
        <f>BJ25</f>
        <v>12307.201996072294</v>
      </c>
      <c r="BK26" s="65">
        <f>BJ26+BK25</f>
        <v>14427.103992144592</v>
      </c>
      <c r="BL26" s="66">
        <f>+BK26+BL25</f>
        <v>16250.910988216889</v>
      </c>
      <c r="BO26" s="123" t="s">
        <v>226</v>
      </c>
      <c r="BR26" s="104">
        <f>IF(ISERROR('Données à saisir'!$J$73/12),0,'Données à saisir'!$J$73/12)</f>
        <v>59.523809523809526</v>
      </c>
      <c r="BS26" s="104">
        <f>IF(ISERROR('Données à saisir'!$J$73/12),0,'Données à saisir'!$J$73/12)</f>
        <v>59.523809523809526</v>
      </c>
      <c r="BT26" s="104">
        <f>IF(ISERROR('Données à saisir'!$J$73/12),0,'Données à saisir'!$J$73/12)</f>
        <v>59.523809523809526</v>
      </c>
      <c r="BU26" s="104">
        <f>IF(ISERROR('Données à saisir'!$J$73/12),0,'Données à saisir'!$J$73/12)</f>
        <v>59.523809523809526</v>
      </c>
      <c r="BV26" s="120">
        <f>IF(ISERROR('Données à saisir'!$J$73/12),0,'Données à saisir'!$J$73/12)</f>
        <v>59.523809523809526</v>
      </c>
      <c r="BY26" s="196">
        <f>IF(ISERROR('Données à saisir'!$J$73/12),0,'Données à saisir'!$J$73/12)</f>
        <v>59.523809523809526</v>
      </c>
      <c r="BZ26" s="104">
        <f>IF(ISERROR('Données à saisir'!$J$73/12),0,'Données à saisir'!$J$73/12)</f>
        <v>59.523809523809526</v>
      </c>
      <c r="CA26" s="104">
        <f>IF(ISERROR('Données à saisir'!$J$73/12),0,'Données à saisir'!$J$73/12)</f>
        <v>59.523809523809526</v>
      </c>
      <c r="CB26" s="104">
        <f>IF(ISERROR('Données à saisir'!$J$73/12),0,'Données à saisir'!$J$73/12)</f>
        <v>59.523809523809526</v>
      </c>
      <c r="CC26" s="104">
        <f>IF(ISERROR('Données à saisir'!$J$73/12),0,'Données à saisir'!$J$73/12)</f>
        <v>59.523809523809526</v>
      </c>
      <c r="CD26" s="104">
        <f>IF(ISERROR('Données à saisir'!$J$73/12),0,'Données à saisir'!$J$73/12)</f>
        <v>59.523809523809526</v>
      </c>
      <c r="CE26" s="132">
        <f>IF(ISERROR('Données à saisir'!$J$73/12),0,'Données à saisir'!$J$73/12)</f>
        <v>59.523809523809526</v>
      </c>
      <c r="CF26" s="201">
        <f t="shared" si="20"/>
        <v>714.28571428571433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8989.4877103580075</v>
      </c>
      <c r="AP27" s="147">
        <f t="shared" si="5"/>
        <v>0.15499116741996566</v>
      </c>
      <c r="AQ27" s="65">
        <f>IF(ISERROR(AQ26-AH45),AQ26,(AQ26-AH45))</f>
        <v>302.18771035801217</v>
      </c>
      <c r="AR27" s="148">
        <f t="shared" si="7"/>
        <v>4.5305503801800926E-3</v>
      </c>
      <c r="AS27" s="65">
        <f>IF(ISERROR(AS26-AI45),AS26,(AS26-AI45))</f>
        <v>6.0927103580110042</v>
      </c>
      <c r="AT27" s="150">
        <f t="shared" si="8"/>
        <v>7.9430419894544092E-5</v>
      </c>
      <c r="BO27" s="123" t="s">
        <v>227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5" t="str">
        <f>IF(ISBLANK('Données à saisir'!B7),"",('Données à saisir'!B7))</f>
        <v>Orthophoniste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800</v>
      </c>
      <c r="AH28" s="62">
        <f>IF(ISBLANK('Données à saisir'!C87),0,'Données à saisir'!C87)</f>
        <v>800</v>
      </c>
      <c r="AI28" s="54">
        <f>IF(ISBLANK('Données à saisir'!D87),0,'Données à saisir'!D87)</f>
        <v>800</v>
      </c>
      <c r="AL28" s="38" t="s">
        <v>158</v>
      </c>
      <c r="AM28" s="1"/>
      <c r="AN28" s="1"/>
      <c r="AO28" s="104">
        <f>AO27+AO22</f>
        <v>11521.487710358007</v>
      </c>
      <c r="AP28" s="145">
        <f t="shared" si="5"/>
        <v>0.19864633983375876</v>
      </c>
      <c r="AQ28" s="104">
        <f t="shared" ref="AQ28:AS28" si="22">AQ27+AQ22</f>
        <v>2834.1877103580123</v>
      </c>
      <c r="AR28" s="149">
        <f t="shared" si="7"/>
        <v>4.2491569870434967E-2</v>
      </c>
      <c r="AS28" s="104">
        <f t="shared" si="22"/>
        <v>2538.0927103580111</v>
      </c>
      <c r="AT28" s="151">
        <f t="shared" si="8"/>
        <v>3.3089012585333567E-2</v>
      </c>
      <c r="BF28" s="92" t="s">
        <v>256</v>
      </c>
      <c r="BI28" s="314">
        <f>Q31</f>
        <v>1500</v>
      </c>
      <c r="BJ28" s="314"/>
      <c r="BO28" s="123" t="s">
        <v>81</v>
      </c>
      <c r="BR28" s="104">
        <f>$AG$17/12</f>
        <v>2026.6666666666667</v>
      </c>
      <c r="BS28" s="104">
        <f t="shared" ref="BS28:CE28" si="23">$AG$17/12</f>
        <v>2026.6666666666667</v>
      </c>
      <c r="BT28" s="104">
        <f t="shared" si="23"/>
        <v>2026.6666666666667</v>
      </c>
      <c r="BU28" s="104">
        <f t="shared" si="23"/>
        <v>2026.6666666666667</v>
      </c>
      <c r="BV28" s="120">
        <f t="shared" si="23"/>
        <v>2026.6666666666667</v>
      </c>
      <c r="BY28" s="196">
        <f t="shared" si="23"/>
        <v>2026.6666666666667</v>
      </c>
      <c r="BZ28" s="104">
        <f t="shared" si="23"/>
        <v>2026.6666666666667</v>
      </c>
      <c r="CA28" s="104">
        <f t="shared" si="23"/>
        <v>2026.6666666666667</v>
      </c>
      <c r="CB28" s="104">
        <f t="shared" si="23"/>
        <v>2026.6666666666667</v>
      </c>
      <c r="CC28" s="104">
        <f t="shared" si="23"/>
        <v>2026.6666666666667</v>
      </c>
      <c r="CD28" s="104">
        <f t="shared" si="23"/>
        <v>2026.6666666666667</v>
      </c>
      <c r="CE28" s="132">
        <f t="shared" si="23"/>
        <v>2026.6666666666667</v>
      </c>
      <c r="CF28" s="201">
        <f t="shared" si="20"/>
        <v>24320.000000000004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17000</v>
      </c>
      <c r="AH29" s="62">
        <f>IF(ISBLANK('Données à saisir'!C88),0,'Données à saisir'!C88)</f>
        <v>17500</v>
      </c>
      <c r="AI29" s="54">
        <f>IF(ISBLANK('Données à saisir'!D88),0,'Données à saisir'!D88)</f>
        <v>18000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181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1500</v>
      </c>
      <c r="T31" s="107" t="s">
        <v>147</v>
      </c>
      <c r="U31" s="34"/>
      <c r="V31" s="34"/>
      <c r="W31" s="34"/>
      <c r="X31" s="110">
        <f>SUM(X33:X39)</f>
        <v>132</v>
      </c>
      <c r="Y31" s="110">
        <f>SUM(Y33:Y39)</f>
        <v>132</v>
      </c>
      <c r="Z31" s="111">
        <f>SUM(Z33:Z39)</f>
        <v>132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270</v>
      </c>
      <c r="AH31" s="62">
        <f>IF(ISBLANK('Données à saisir'!C93),0,'Données à saisir'!C93)</f>
        <v>270</v>
      </c>
      <c r="AI31" s="69">
        <f>IF(ISBLANK('Données à saisir'!D93),0,'Données à saisir'!D93)</f>
        <v>270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15660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8" t="str">
        <f>IF(ISBLANK('Données à saisir'!B8),"",('Données à saisir'!B8))</f>
        <v>Micro-entreprise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12</v>
      </c>
      <c r="Y33" s="113">
        <f>'Données à saisir'!D40</f>
        <v>12</v>
      </c>
      <c r="Z33" s="236">
        <f>'Données à saisir'!E40</f>
        <v>12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531.66666666666663</v>
      </c>
      <c r="BS33" s="104">
        <f t="shared" si="24"/>
        <v>531.66666666666663</v>
      </c>
      <c r="BT33" s="104">
        <f t="shared" si="24"/>
        <v>531.66666666666663</v>
      </c>
      <c r="BU33" s="104">
        <f t="shared" si="24"/>
        <v>531.66666666666663</v>
      </c>
      <c r="BV33" s="120">
        <f t="shared" si="24"/>
        <v>531.66666666666663</v>
      </c>
      <c r="BY33" s="196">
        <f t="shared" si="25"/>
        <v>531.66666666666663</v>
      </c>
      <c r="BZ33" s="104">
        <f t="shared" si="25"/>
        <v>531.66666666666663</v>
      </c>
      <c r="CA33" s="104">
        <f t="shared" si="25"/>
        <v>531.66666666666663</v>
      </c>
      <c r="CB33" s="104">
        <f t="shared" si="25"/>
        <v>531.66666666666663</v>
      </c>
      <c r="CC33" s="104">
        <f t="shared" si="25"/>
        <v>531.66666666666663</v>
      </c>
      <c r="CD33" s="104">
        <f t="shared" si="25"/>
        <v>531.66666666666663</v>
      </c>
      <c r="CE33" s="132">
        <f t="shared" si="25"/>
        <v>531.66666666666663</v>
      </c>
      <c r="CF33" s="201">
        <f t="shared" si="20"/>
        <v>6380.0000000000009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135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294" t="s">
        <v>158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188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1781.6666666666665</v>
      </c>
      <c r="BS34" s="65">
        <f t="shared" ref="BS34:CE34" si="27">SUM(BS30:BS33)</f>
        <v>1781.6666666666665</v>
      </c>
      <c r="BT34" s="65">
        <f t="shared" si="27"/>
        <v>1781.6666666666665</v>
      </c>
      <c r="BU34" s="65">
        <f t="shared" si="27"/>
        <v>1781.6666666666665</v>
      </c>
      <c r="BV34" s="66">
        <f t="shared" si="27"/>
        <v>1781.6666666666665</v>
      </c>
      <c r="BY34" s="197">
        <f t="shared" si="27"/>
        <v>1781.6666666666665</v>
      </c>
      <c r="BZ34" s="65">
        <f t="shared" si="27"/>
        <v>1781.6666666666665</v>
      </c>
      <c r="CA34" s="65">
        <f t="shared" si="27"/>
        <v>1781.6666666666665</v>
      </c>
      <c r="CB34" s="65">
        <f t="shared" si="27"/>
        <v>1781.6666666666665</v>
      </c>
      <c r="CC34" s="65">
        <f t="shared" si="27"/>
        <v>1781.6666666666665</v>
      </c>
      <c r="CD34" s="65">
        <f t="shared" si="27"/>
        <v>1781.6666666666665</v>
      </c>
      <c r="CE34" s="131">
        <f t="shared" si="27"/>
        <v>1781.6666666666665</v>
      </c>
      <c r="CF34" s="200">
        <f t="shared" si="20"/>
        <v>21380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33680</v>
      </c>
      <c r="AH35" s="65">
        <f>AH16-AH17</f>
        <v>41220</v>
      </c>
      <c r="AI35" s="66">
        <f>AI16-AI17</f>
        <v>50265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185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64.876024136832683</v>
      </c>
      <c r="BS35" s="104">
        <f>$AG42/12</f>
        <v>64.876024136832683</v>
      </c>
      <c r="BT35" s="104">
        <f>$AG42/12</f>
        <v>64.876024136832683</v>
      </c>
      <c r="BU35" s="104">
        <f>$AG42/12</f>
        <v>64.876024136832683</v>
      </c>
      <c r="BV35" s="120">
        <f>$AG42/12</f>
        <v>64.876024136832683</v>
      </c>
      <c r="BY35" s="196">
        <f t="shared" ref="BY35:CE35" si="28">$AG42/12</f>
        <v>64.876024136832683</v>
      </c>
      <c r="BZ35" s="104">
        <f t="shared" si="28"/>
        <v>64.876024136832683</v>
      </c>
      <c r="CA35" s="104">
        <f t="shared" si="28"/>
        <v>64.876024136832683</v>
      </c>
      <c r="CB35" s="104">
        <f t="shared" si="28"/>
        <v>64.876024136832683</v>
      </c>
      <c r="CC35" s="104">
        <f t="shared" si="28"/>
        <v>64.876024136832683</v>
      </c>
      <c r="CD35" s="104">
        <f t="shared" si="28"/>
        <v>64.876024136832683</v>
      </c>
      <c r="CE35" s="132">
        <f t="shared" si="28"/>
        <v>64.876024136832683</v>
      </c>
      <c r="CF35" s="201">
        <f t="shared" si="20"/>
        <v>778.51228964199242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900</v>
      </c>
      <c r="AI36" s="53">
        <f>IF(ISBLANK('Données à saisir'!D91),0,'Données à saisir'!D91)</f>
        <v>950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18092.733166993974</v>
      </c>
      <c r="BS36" s="65">
        <f>SUM(BS24:BS29,BS34:BS35)</f>
        <v>3932.7331669939754</v>
      </c>
      <c r="BT36" s="65">
        <f>SUM(BT24:BT29,BT34:BT35)</f>
        <v>3932.7331669939754</v>
      </c>
      <c r="BU36" s="65">
        <f>SUM(BU24:BU29,BU34:BU35)</f>
        <v>3932.7331669939754</v>
      </c>
      <c r="BV36" s="66">
        <f>SUM(BV24:BV29,BV34:BV35)</f>
        <v>3932.7331669939754</v>
      </c>
      <c r="BY36" s="197">
        <f t="shared" ref="BY36:CE36" si="29">SUM(BY24:BY29,BY34:BY35)</f>
        <v>3932.7331669939754</v>
      </c>
      <c r="BZ36" s="65">
        <f t="shared" si="29"/>
        <v>3932.7331669939754</v>
      </c>
      <c r="CA36" s="65">
        <f t="shared" si="29"/>
        <v>3932.7331669939754</v>
      </c>
      <c r="CB36" s="65">
        <f t="shared" si="29"/>
        <v>3932.7331669939754</v>
      </c>
      <c r="CC36" s="65">
        <f t="shared" si="29"/>
        <v>3932.7331669939754</v>
      </c>
      <c r="CD36" s="65">
        <f t="shared" si="29"/>
        <v>3932.7331669939754</v>
      </c>
      <c r="CE36" s="131">
        <f t="shared" si="29"/>
        <v>3932.7331669939754</v>
      </c>
      <c r="CF36" s="200">
        <f t="shared" si="20"/>
        <v>61352.798003927688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10660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18660</v>
      </c>
      <c r="BS37" s="65">
        <f>SUM(BS15:BS20)</f>
        <v>4000</v>
      </c>
      <c r="BT37" s="65">
        <f>SUM(BT15:BT20)</f>
        <v>4000</v>
      </c>
      <c r="BU37" s="65">
        <f>SUM(BU15:BU20)</f>
        <v>5000</v>
      </c>
      <c r="BV37" s="66">
        <f>SUM(BV15:BV20)</f>
        <v>5000</v>
      </c>
      <c r="BY37" s="197">
        <f t="shared" ref="BY37:CE37" si="30">SUM(BY15:BY20)</f>
        <v>3000</v>
      </c>
      <c r="BZ37" s="65">
        <f t="shared" si="30"/>
        <v>6000</v>
      </c>
      <c r="CA37" s="65">
        <f t="shared" si="30"/>
        <v>3500</v>
      </c>
      <c r="CB37" s="65">
        <f t="shared" si="30"/>
        <v>7000</v>
      </c>
      <c r="CC37" s="65">
        <f t="shared" si="30"/>
        <v>7000</v>
      </c>
      <c r="CD37" s="65">
        <f t="shared" si="30"/>
        <v>7000</v>
      </c>
      <c r="CE37" s="131">
        <f t="shared" si="30"/>
        <v>3500</v>
      </c>
      <c r="CF37" s="200">
        <f t="shared" ref="CF37" si="31">SUM(BR37:CE37)</f>
        <v>73660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10660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567.26683300602599</v>
      </c>
      <c r="BT38" s="104">
        <f>BS40</f>
        <v>634.53366601205062</v>
      </c>
      <c r="BU38" s="104">
        <f>BT40</f>
        <v>701.80049901807524</v>
      </c>
      <c r="BV38" s="159">
        <f>BU40</f>
        <v>1769.0673320240999</v>
      </c>
      <c r="BY38" s="196">
        <f>BV40</f>
        <v>2836.3341650301245</v>
      </c>
      <c r="BZ38" s="104">
        <f t="shared" ref="BZ38:CE38" si="32">BY40</f>
        <v>1903.6009980361491</v>
      </c>
      <c r="CA38" s="104">
        <f t="shared" si="32"/>
        <v>3970.8678310421737</v>
      </c>
      <c r="CB38" s="104">
        <f t="shared" si="32"/>
        <v>3538.1346640481984</v>
      </c>
      <c r="CC38" s="104">
        <f t="shared" si="32"/>
        <v>6605.401497054223</v>
      </c>
      <c r="CD38" s="104">
        <f t="shared" si="32"/>
        <v>9672.6683300602472</v>
      </c>
      <c r="CE38" s="132">
        <f t="shared" si="32"/>
        <v>12739.935163066271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22000</v>
      </c>
      <c r="AI39" s="53">
        <f>'Données à saisir'!D134</f>
        <v>29000</v>
      </c>
      <c r="AW39" s="166" t="s">
        <v>189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567.26683300602599</v>
      </c>
      <c r="BS39" s="57">
        <f t="shared" ref="BS39:CE39" si="33">BS37-BS36</f>
        <v>67.266833006024626</v>
      </c>
      <c r="BT39" s="57">
        <f t="shared" si="33"/>
        <v>67.266833006024626</v>
      </c>
      <c r="BU39" s="57">
        <f t="shared" si="33"/>
        <v>1067.2668330060246</v>
      </c>
      <c r="BV39" s="68">
        <f t="shared" si="33"/>
        <v>1067.2668330060246</v>
      </c>
      <c r="BW39" s="1"/>
      <c r="BX39" s="1"/>
      <c r="BY39" s="215">
        <f t="shared" si="33"/>
        <v>-932.73316699397537</v>
      </c>
      <c r="BZ39" s="57">
        <f t="shared" si="33"/>
        <v>2067.2668330060246</v>
      </c>
      <c r="CA39" s="57">
        <f t="shared" si="33"/>
        <v>-432.73316699397537</v>
      </c>
      <c r="CB39" s="57">
        <f t="shared" si="33"/>
        <v>3067.2668330060246</v>
      </c>
      <c r="CC39" s="57">
        <f t="shared" si="33"/>
        <v>3067.2668330060246</v>
      </c>
      <c r="CD39" s="57">
        <f t="shared" si="33"/>
        <v>3067.2668330060246</v>
      </c>
      <c r="CE39" s="74">
        <f t="shared" si="33"/>
        <v>-432.73316699397537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5000</v>
      </c>
      <c r="T40" s="107" t="s">
        <v>148</v>
      </c>
      <c r="U40" s="34"/>
      <c r="V40" s="34"/>
      <c r="W40" s="34"/>
      <c r="X40" s="110">
        <f>SUM(X42:X46)</f>
        <v>2400</v>
      </c>
      <c r="Y40" s="110">
        <f>SUM(Y42:Y46)</f>
        <v>2400</v>
      </c>
      <c r="Z40" s="237">
        <f>SUM(Z42:Z46)</f>
        <v>2400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6380</v>
      </c>
      <c r="AH40" s="104">
        <f>IF('Données à saisir'!C136="Oui",'Données à saisir'!H147,'Données à saisir'!C147)</f>
        <v>14607.299999999997</v>
      </c>
      <c r="AI40" s="120">
        <f>IF('Données à saisir'!C136="Oui",'Données à saisir'!I147,'Données à saisir'!D147)</f>
        <v>16798.394999999997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238</v>
      </c>
      <c r="BP40" s="64"/>
      <c r="BQ40" s="64"/>
      <c r="BR40" s="65">
        <f>BR39</f>
        <v>567.26683300602599</v>
      </c>
      <c r="BS40" s="65">
        <f>BS38+BS39</f>
        <v>634.53366601205062</v>
      </c>
      <c r="BT40" s="65">
        <f>BT38+BT39</f>
        <v>701.80049901807524</v>
      </c>
      <c r="BU40" s="65">
        <f>BU38+BU39</f>
        <v>1769.0673320240999</v>
      </c>
      <c r="BV40" s="66">
        <f t="shared" ref="BV40:CE40" si="34">BV38+BV39</f>
        <v>2836.3341650301245</v>
      </c>
      <c r="BY40" s="197">
        <f t="shared" si="34"/>
        <v>1903.6009980361491</v>
      </c>
      <c r="BZ40" s="65">
        <f t="shared" si="34"/>
        <v>3970.8678310421737</v>
      </c>
      <c r="CA40" s="65">
        <f t="shared" si="34"/>
        <v>3538.1346640481984</v>
      </c>
      <c r="CB40" s="65">
        <f t="shared" si="34"/>
        <v>6605.401497054223</v>
      </c>
      <c r="CC40" s="65">
        <f t="shared" si="34"/>
        <v>9672.6683300602472</v>
      </c>
      <c r="CD40" s="65">
        <f t="shared" si="34"/>
        <v>12739.935163066271</v>
      </c>
      <c r="CE40" s="131">
        <f t="shared" si="34"/>
        <v>12307.201996072296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5000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12300</v>
      </c>
      <c r="AH41" s="65">
        <f t="shared" ref="AH41:AI41" si="35">AH35-SUM(AH36:AH40)</f>
        <v>3712.7000000000044</v>
      </c>
      <c r="AI41" s="66">
        <f t="shared" si="35"/>
        <v>3516.6050000000032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300</v>
      </c>
      <c r="Y42" s="113">
        <f>'Données à saisir'!D50</f>
        <v>300</v>
      </c>
      <c r="Z42" s="236">
        <f>'Données à saisir'!E50</f>
        <v>300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778.5122896419922</v>
      </c>
      <c r="AH42" s="57">
        <f>'Données à saisir'!C90+SUM('Données à saisir'!H70:H72)</f>
        <v>878.5122896419922</v>
      </c>
      <c r="AI42" s="53">
        <f>'Données à saisir'!D90+SUM('Données à saisir'!I70:I72)</f>
        <v>978.5122896419922</v>
      </c>
      <c r="AL42" s="63" t="s">
        <v>160</v>
      </c>
      <c r="AM42" s="64"/>
      <c r="AN42" s="64"/>
      <c r="AO42" s="131">
        <f>AO27</f>
        <v>8989.4877103580075</v>
      </c>
      <c r="AP42" s="136"/>
      <c r="AQ42" s="131">
        <f>AQ27</f>
        <v>302.18771035801217</v>
      </c>
      <c r="AR42" s="136"/>
      <c r="AS42" s="128">
        <f>AS27</f>
        <v>6.0927103580110042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2532</v>
      </c>
      <c r="AH43" s="57">
        <f>'Données à saisir'!D39</f>
        <v>2532</v>
      </c>
      <c r="AI43" s="53">
        <f>'Données à saisir'!E39</f>
        <v>2532</v>
      </c>
      <c r="AL43" s="122" t="s">
        <v>161</v>
      </c>
      <c r="AM43" s="1"/>
      <c r="AN43" s="1"/>
      <c r="AO43" s="132">
        <f>AO22</f>
        <v>2532</v>
      </c>
      <c r="AP43" s="137"/>
      <c r="AQ43" s="132">
        <f>AQ22</f>
        <v>2532</v>
      </c>
      <c r="AR43" s="137"/>
      <c r="AS43" s="127">
        <f>AS22</f>
        <v>2532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800</v>
      </c>
      <c r="Y44" s="113">
        <f>'Données à saisir'!D52</f>
        <v>800</v>
      </c>
      <c r="Z44" s="236">
        <f>'Données à saisir'!E52</f>
        <v>800</v>
      </c>
      <c r="AC44" s="63" t="s">
        <v>129</v>
      </c>
      <c r="AD44" s="64"/>
      <c r="AE44" s="64"/>
      <c r="AF44" s="64"/>
      <c r="AG44" s="65">
        <f>AG41-AG42-AG43</f>
        <v>8989.4877103580075</v>
      </c>
      <c r="AH44" s="65">
        <f t="shared" ref="AH44:AI44" si="37">AH41-AH42-AH43</f>
        <v>302.18771035801228</v>
      </c>
      <c r="AI44" s="66">
        <f t="shared" si="37"/>
        <v>6.0927103580111179</v>
      </c>
      <c r="AL44" s="63" t="s">
        <v>158</v>
      </c>
      <c r="AM44" s="64"/>
      <c r="AN44" s="64"/>
      <c r="AO44" s="131">
        <f>AO42+AO43</f>
        <v>11521.487710358007</v>
      </c>
      <c r="AP44" s="136"/>
      <c r="AQ44" s="131">
        <f t="shared" ref="AQ44:AS44" si="38">AQ42+AQ43</f>
        <v>2834.1877103580123</v>
      </c>
      <c r="AR44" s="136"/>
      <c r="AS44" s="128">
        <f t="shared" si="38"/>
        <v>2538.0927103580111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162</v>
      </c>
      <c r="AO45" s="132">
        <f>IF(ISERROR(SUM('Données à saisir'!J70:J72)),0,SUM('Données à saisir'!J70:J72))</f>
        <v>714.28571428571433</v>
      </c>
      <c r="AP45" s="137"/>
      <c r="AQ45" s="132">
        <f>SUM('Données à saisir'!K70:K72)</f>
        <v>714.28571428571433</v>
      </c>
      <c r="AR45" s="137"/>
      <c r="AS45" s="127">
        <f>SUM('Données à saisir'!L70:L72)</f>
        <v>714.28571428571433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10807.201996072294</v>
      </c>
      <c r="AP46" s="138"/>
      <c r="AQ46" s="133">
        <f>AQ44-AQ45</f>
        <v>2119.9019960722981</v>
      </c>
      <c r="AR46" s="138"/>
      <c r="AS46" s="129">
        <f>AS44-AS45</f>
        <v>1823.8069960722969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45000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8989.4877103580075</v>
      </c>
      <c r="AH47" s="65">
        <f t="shared" ref="AH47:AI47" si="39">AH44-SUM(AH45)</f>
        <v>302.18771035801228</v>
      </c>
      <c r="AI47" s="66">
        <f t="shared" si="39"/>
        <v>6.0927103580111179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15660</v>
      </c>
      <c r="T48" s="109" t="s">
        <v>149</v>
      </c>
      <c r="U48" s="108"/>
      <c r="V48" s="108"/>
      <c r="W48" s="108"/>
      <c r="X48" s="112">
        <f>SUM(X31,X40)</f>
        <v>2532</v>
      </c>
      <c r="Y48" s="112">
        <f>SUM(Y31,Y40)</f>
        <v>2532</v>
      </c>
      <c r="Z48" s="118">
        <f>SUM(Z31,Z40)</f>
        <v>2532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30369.487710358007</v>
      </c>
      <c r="AH52" s="90">
        <f>AH35-SUM(AH36:AH38,AH42:AH43)</f>
        <v>36909.487710358007</v>
      </c>
      <c r="AI52" s="90">
        <f>AI35-SUM(AI36:AI38,AI42:AI43)</f>
        <v>45804.487710358007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2023-03-15T11:03:07Z</dcterms:modified>
</cp:coreProperties>
</file>