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264DE0EA-8894-4AA1-B755-4E974D004CD3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133" i="1" l="1"/>
  <c r="D61" i="1"/>
  <c r="J1" i="1" l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54" i="1"/>
  <c r="Z46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CF29" i="2" l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40" i="1"/>
  <c r="G40" i="1" s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F53" i="1" l="1"/>
  <c r="G53" i="1" s="1"/>
  <c r="G42" i="1"/>
  <c r="H42" i="1" s="1"/>
  <c r="AH14" i="2"/>
  <c r="AH13" i="2" s="1"/>
  <c r="Z34" i="2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H53" i="1" l="1"/>
  <c r="I53" i="1" s="1"/>
  <c r="I42" i="1"/>
  <c r="J42" i="1" s="1"/>
  <c r="AQ15" i="2"/>
  <c r="BB12" i="2" s="1"/>
  <c r="BB13" i="2" s="1"/>
  <c r="AH16" i="2"/>
  <c r="AH35" i="2" s="1"/>
  <c r="AH52" i="2" s="1"/>
  <c r="AO18" i="2"/>
  <c r="AP18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J53" i="1" l="1"/>
  <c r="K53" i="1" s="1"/>
  <c r="AQ16" i="2"/>
  <c r="AQ18" i="2" s="1"/>
  <c r="AR15" i="2"/>
  <c r="BB38" i="2"/>
  <c r="BB39" i="2" s="1"/>
  <c r="BK16" i="2" s="1"/>
  <c r="BK18" i="2" s="1"/>
  <c r="BB14" i="2"/>
  <c r="BB15" i="2" s="1"/>
  <c r="Y17" i="2"/>
  <c r="AH41" i="2"/>
  <c r="AH44" i="2" s="1"/>
  <c r="AH45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AR16" i="2" l="1"/>
  <c r="BL16" i="2"/>
  <c r="BL18" i="2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<sst xmlns="http://schemas.openxmlformats.org/spreadsheetml/2006/main" count="452" uniqueCount="305">
  <si>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</si>
  <si>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</si>
  <si>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</si>
  <si>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</si>
  <si>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</si>
  <si>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</si>
  <si>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</si>
  <si>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</si>
  <si>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</si>
  <si>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</si>
  <si>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</si>
  <si>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</si>
  <si>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</si>
  <si>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</si>
  <si>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</si>
  <si>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</si>
  <si>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</si>
  <si>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</si>
  <si>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</si>
  <si>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</si>
  <si>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</si>
  <si>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</si>
  <si>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</si>
  <si>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</si>
  <si>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</si>
  <si>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</si>
  <si>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</si>
  <si>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</si>
  <si>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</si>
  <si>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</si>
  <si>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</si>
  <si>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</si>
  <si>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</si>
  <si>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</si>
  <si>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</si>
  <si>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</si>
  <si>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</si>
  <si>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</si>
  <si>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</si>
  <si>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</si>
  <si>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</si>
  <si>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</si>
  <si>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</si>
  <si>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</si>
  <si>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</si>
  <si>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</si>
  <si>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</si>
  <si>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</si>
  <si>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</si>
  <si>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</si>
  <si>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</si>
  <si>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</si>
  <si>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</si>
  <si>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</si>
  <si>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</si>
  <si>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</si>
  <si>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</si>
  <si>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</si>
  <si>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</si>
  <si>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</si>
  <si>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</si>
  <si>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</si>
  <si>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</si>
  <si>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</si>
  <si>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</si>
  <si>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</si>
  <si>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</si>
  <si>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</si>
  <si>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</si>
  <si>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</si>
  <si>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</si>
  <si>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</si>
  <si>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</si>
  <si>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</si>
  <si>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</si>
  <si>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</si>
  <si>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</si>
  <si>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</si>
  <si>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</si>
  <si>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</si>
  <si>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</si>
  <si>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</si>
  <si>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</si>
  <si>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</si>
  <si>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</si>
  <si>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</si>
  <si>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</si>
  <si>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</si>
  <si>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</si>
  <si>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</si>
  <si>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</si>
  <si>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</si>
  <si>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</si>
  <si>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</si>
  <si>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</si>
  <si>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</si>
  <si>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</si>
  <si>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</si>
  <si>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</si>
  <si>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</si>
  <si>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</si>
  <si>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</si>
  <si>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</si>
  <si>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</si>
  <si>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</si>
  <si>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</si>
  <si>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</si>
  <si>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</si>
  <si>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</si>
  <si>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</si>
  <si>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</si>
  <si>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</si>
  <si>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</si>
  <si>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</si>
  <si>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</si>
  <si>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</si>
  <si>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</si>
  <si>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</si>
  <si>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</si>
  <si>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</si>
  <si>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</si>
  <si>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</si>
  <si>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</si>
  <si>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</si>
  <si>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</si>
  <si>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</si>
  <si>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</si>
  <si>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</si>
  <si>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</si>
  <si>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</si>
  <si>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</si>
  <si>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</si>
  <si>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</si>
  <si>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</si>
  <si>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</si>
  <si>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</si>
  <si>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</si>
  <si>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</si>
  <si>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</si>
  <si>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</si>
  <si>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</si>
  <si>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</si>
  <si>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</si>
  <si>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</si>
  <si>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</si>
  <si>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</si>
  <si>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</si>
  <si>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</si>
  <si>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</si>
  <si>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</si>
  <si>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</si>
  <si>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</si>
  <si>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</si>
  <si>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</si>
  <si>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</si>
  <si>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</si>
  <si>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</si>
  <si>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</si>
  <si>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</si>
  <si>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</si>
  <si>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</si>
  <si>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</si>
  <si>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</si>
  <si>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</si>
  <si>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</si>
  <si>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</si>
  <si>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</si>
  <si>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</si>
  <si>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</si>
  <si>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</si>
  <si>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</si>
  <si>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</si>
  <si>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</si>
  <si>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</si>
  <si>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</si>
  <si>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</si>
  <si>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</si>
  <si>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</si>
  <si>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</si>
  <si>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</si>
  <si>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</si>
  <si>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</si>
  <si>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</si>
  <si>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</si>
  <si>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</si>
  <si>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</si>
  <si>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</si>
  <si>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</si>
  <si>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</si>
  <si>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</si>
  <si>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</si>
  <si>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</si>
  <si>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</si>
  <si>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</si>
  <si>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</si>
  <si>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</si>
  <si>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</si>
  <si>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</si>
  <si>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</si>
  <si>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</si>
  <si>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</si>
  <si>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</si>
  <si>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</si>
  <si>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</si>
  <si>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</si>
  <si>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</si>
  <si>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</si>
  <si>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</si>
  <si>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</si>
  <si>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</si>
  <si>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</si>
  <si>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</si>
  <si>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</si>
  <si>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</si>
  <si>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</si>
  <si>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</si>
  <si>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</si>
  <si>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</si>
  <si>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</si>
  <si>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</si>
  <si>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</si>
  <si>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</si>
  <si>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</si>
  <si>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</si>
  <si>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</si>
  <si>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</si>
  <si>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</si>
  <si>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</si>
  <si>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</si>
  <si>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</si>
  <si>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</si>
  <si>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</si>
  <si>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</si>
  <si>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</si>
  <si>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</si>
  <si>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</si>
  <si>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</si>
  <si>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</si>
  <si>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</si>
  <si>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</si>
  <si>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</si>
  <si>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</si>
  <si>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</si>
  <si>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</si>
  <si>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</si>
  <si>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</si>
  <si>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</si>
  <si>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</si>
  <si>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</si>
  <si>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</si>
  <si>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</si>
  <si>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</si>
  <si>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</si>
  <si>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</si>
  <si>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</si>
  <si>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</si>
  <si>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</si>
  <si>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</si>
  <si>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</si>
  <si>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</si>
  <si>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</si>
  <si>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</si>
  <si>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</si>
  <si>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</si>
  <si>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</si>
  <si>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</si>
  <si>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</si>
  <si>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</si>
  <si>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</si>
  <si>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</si>
  <si>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</si>
  <si>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</si>
  <si>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</si>
  <si>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</si>
  <si>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</si>
  <si>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</si>
  <si>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</si>
  <si>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</si>
  <si>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</si>
  <si>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</si>
  <si>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</si>
  <si>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</si>
  <si>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</si>
  <si>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</si>
  <si>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</si>
  <si>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</si>
  <si>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</si>
  <si>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</si>
  <si>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</si>
  <si>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</si>
  <si>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</si>
  <si>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</si>
  <si>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</si>
  <si>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</si>
  <si>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</si>
  <si>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</si>
  <si>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</si>
  <si>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</si>
  <si>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Notamment les formations obligatoires (hygiène…)</t>
  </si>
  <si>
    <t>Pour l'entrée dans le local commercial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</si>
  <si>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produits</t>
    </r>
  </si>
  <si>
    <t>Sacem</t>
  </si>
  <si>
    <t>Institut de beauté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</si>
  <si>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 (soins)</t>
    </r>
  </si>
  <si>
    <t>Produits professionnels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</si>
</sst>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0" fillId="4" borderId="0" xfId="0" applyFill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279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86" t="s">
        <v>281</v>
      </c>
      <c r="I4" s="286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86"/>
      <c r="I5" s="286"/>
      <c r="J5" t="s">
        <v>109</v>
      </c>
      <c r="L5" t="s">
        <v>117</v>
      </c>
    </row>
    <row r="6" spans="1:14" ht="15.1" customHeight="1" x14ac:dyDescent="0.25">
      <c r="A6" s="275" t="s">
        <v>280</v>
      </c>
      <c r="B6" s="288"/>
      <c r="C6" s="288"/>
      <c r="G6" s="232"/>
      <c r="H6" s="287" t="s">
        <v>293</v>
      </c>
      <c r="I6" s="287"/>
      <c r="J6" t="s">
        <v>111</v>
      </c>
    </row>
    <row r="7" spans="1:14" ht="15.1" customHeight="1" x14ac:dyDescent="0.25">
      <c r="A7" s="275" t="s">
        <v>262</v>
      </c>
      <c r="B7" s="288" t="s">
        <v>302</v>
      </c>
      <c r="C7" s="288"/>
      <c r="D7" s="5" t="s">
        <v>3</v>
      </c>
      <c r="G7" s="232"/>
      <c r="H7" s="287"/>
      <c r="I7" s="287"/>
      <c r="J7" t="s">
        <v>112</v>
      </c>
    </row>
    <row r="8" spans="1:14" ht="15.1" customHeight="1" x14ac:dyDescent="0.25">
      <c r="A8" s="275" t="s">
        <v>0</v>
      </c>
      <c r="B8" s="288" t="s">
        <v>113</v>
      </c>
      <c r="C8" s="288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89"/>
      <c r="C9" s="289"/>
      <c r="G9" s="232"/>
      <c r="H9" s="232"/>
    </row>
    <row r="10" spans="1:14" ht="15.1" customHeight="1" x14ac:dyDescent="0.25">
      <c r="A10" s="275" t="s">
        <v>67</v>
      </c>
      <c r="B10" s="290"/>
      <c r="C10" s="290"/>
      <c r="G10" s="232"/>
      <c r="H10" s="232"/>
    </row>
    <row r="11" spans="1:14" ht="15.1" customHeight="1" x14ac:dyDescent="0.25">
      <c r="A11" s="275" t="s">
        <v>248</v>
      </c>
      <c r="B11" s="288"/>
      <c r="C11" s="288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3"/>
      <c r="C12" s="293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92" t="s">
        <v>117</v>
      </c>
      <c r="C13" s="292"/>
      <c r="D13" s="292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242</v>
      </c>
      <c r="J15" t="s">
        <v>112</v>
      </c>
      <c r="K15" t="s">
        <v>115</v>
      </c>
    </row>
    <row r="16" spans="1:14" ht="15.1" x14ac:dyDescent="0.25">
      <c r="B16" s="222" t="s">
        <v>246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232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241</v>
      </c>
      <c r="G18" s="232"/>
      <c r="H18" s="232"/>
    </row>
    <row r="19" spans="1:8" ht="15.1" customHeight="1" x14ac:dyDescent="0.25">
      <c r="A19" s="276" t="s">
        <v>233</v>
      </c>
      <c r="B19" s="255">
        <v>800</v>
      </c>
      <c r="C19" s="5" t="s">
        <v>298</v>
      </c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/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85000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1000</v>
      </c>
      <c r="C24" s="5" t="s">
        <v>299</v>
      </c>
      <c r="G24" s="232"/>
      <c r="H24" s="232"/>
    </row>
    <row r="25" spans="1:8" ht="15.1" customHeight="1" x14ac:dyDescent="0.25">
      <c r="A25" s="276" t="s">
        <v>49</v>
      </c>
      <c r="B25" s="255">
        <v>400</v>
      </c>
      <c r="C25" s="5" t="s">
        <v>234</v>
      </c>
      <c r="G25" s="232"/>
      <c r="H25" s="232"/>
    </row>
    <row r="26" spans="1:8" ht="15.75" customHeight="1" x14ac:dyDescent="0.25">
      <c r="A26" s="276" t="s">
        <v>37</v>
      </c>
      <c r="B26" s="255">
        <v>600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1500</v>
      </c>
      <c r="C27" s="5" t="s">
        <v>19</v>
      </c>
    </row>
    <row r="28" spans="1:8" x14ac:dyDescent="0.25">
      <c r="A28" s="276" t="s">
        <v>72</v>
      </c>
      <c r="B28" s="255"/>
      <c r="C28" s="5" t="s">
        <v>235</v>
      </c>
    </row>
    <row r="29" spans="1:8" x14ac:dyDescent="0.25">
      <c r="A29" s="276" t="s">
        <v>38</v>
      </c>
      <c r="B29" s="255">
        <v>3000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4000</v>
      </c>
      <c r="C33" s="227" t="s">
        <v>258</v>
      </c>
    </row>
    <row r="34" spans="1:13" ht="15.25" thickBot="1" x14ac:dyDescent="0.3">
      <c r="A34" s="8" t="s">
        <v>48</v>
      </c>
      <c r="B34" s="10">
        <f>SUM(B17:B33)</f>
        <v>106300</v>
      </c>
      <c r="C34" s="7"/>
    </row>
    <row r="35" spans="1:13" x14ac:dyDescent="0.25">
      <c r="C35" s="7"/>
    </row>
    <row r="36" spans="1:13" ht="15.95" x14ac:dyDescent="0.3">
      <c r="A36" s="2" t="s">
        <v>240</v>
      </c>
      <c r="C36" s="256">
        <v>5</v>
      </c>
      <c r="D36" s="3" t="s">
        <v>282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12300</v>
      </c>
      <c r="C39" s="116">
        <f t="shared" ref="C39:C54" si="0">IF(ISERROR($B39/$C$36),0,$B39/$C$36)</f>
        <v>2460</v>
      </c>
      <c r="D39" s="116">
        <f>IF($B39&gt;(SUM(C39:$C39)),IF(ISERROR($B39/$C$36),"",$B39/$C$36),0)</f>
        <v>2460</v>
      </c>
      <c r="E39" s="116">
        <f>IF($B39&gt;(SUM($C39:D39)),IF(ISERROR($B39/$C$36),"",$B39/$C$36),0)</f>
        <v>2460</v>
      </c>
      <c r="F39" s="116">
        <f>IF($B39&gt;(SUM($C39:E39)),IF(ISERROR($B39/$C$36),"",$B39/$C$36),0)</f>
        <v>2460</v>
      </c>
      <c r="G39" s="116">
        <f>IF($B39&gt;(SUM($C39:F39)),IF(ISERROR($B39/$C$36),"",$B39/$C$36),0)</f>
        <v>2460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12300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800</v>
      </c>
      <c r="C42" s="75">
        <f t="shared" si="0"/>
        <v>160</v>
      </c>
      <c r="D42" s="75">
        <f>IF($B42&gt;(SUM(C42:$C42)),IF(ISERROR($B42/$C$36),"",$B42/$C$36),0)</f>
        <v>160</v>
      </c>
      <c r="E42" s="75">
        <f>IF($B42&gt;(SUM($C42:D42)),IF(ISERROR($B42/$C$36),"",$B42/$C$36),0)</f>
        <v>160</v>
      </c>
      <c r="F42" s="75">
        <f>IF($B42&gt;(SUM($C42:E42)),IF(ISERROR($B42/$C$36),"",$B42/$C$36),0)</f>
        <v>160</v>
      </c>
      <c r="G42" s="75">
        <f>IF($B42&gt;(SUM($C42:F42)),IF(ISERROR($B42/$C$36),"",$B42/$C$36),0)</f>
        <v>160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800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0</v>
      </c>
      <c r="C44" s="75">
        <f t="shared" si="0"/>
        <v>0</v>
      </c>
      <c r="D44" s="75">
        <f>IF($B44&gt;(SUM(C44:$C44)),IF(ISERROR($B44/$C$36),"",$B44/$C$36),0)</f>
        <v>0</v>
      </c>
      <c r="E44" s="75">
        <f>IF($B44&gt;(SUM($C44:D44)),IF(ISERROR($B44/$C$36),"",$B44/$C$36),0)</f>
        <v>0</v>
      </c>
      <c r="F44" s="75">
        <f>IF($B44&gt;(SUM($C44:E44)),IF(ISERROR($B44/$C$36),"",$B44/$C$36),0)</f>
        <v>0</v>
      </c>
      <c r="G44" s="75">
        <f>IF($B44&gt;(SUM($C44:F44)),IF(ISERROR($B44/$C$36),"",$B44/$C$36),0)</f>
        <v>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400</v>
      </c>
      <c r="C48" s="75">
        <f t="shared" si="0"/>
        <v>80</v>
      </c>
      <c r="D48" s="75">
        <f>IF($B48&gt;(SUM(C48:$C48)),IF(ISERROR($B48/$C$36),"",$B48/$C$36),0)</f>
        <v>80</v>
      </c>
      <c r="E48" s="75">
        <f>IF($B48&gt;(SUM($C48:D48)),IF(ISERROR($B48/$C$36),"",$B48/$C$36),0)</f>
        <v>80</v>
      </c>
      <c r="F48" s="75">
        <f>IF($B48&gt;(SUM($C48:E48)),IF(ISERROR($B48/$C$36),"",$B48/$C$36),0)</f>
        <v>80</v>
      </c>
      <c r="G48" s="75">
        <f>IF($B48&gt;(SUM($C48:F48)),IF(ISERROR($B48/$C$36),"",$B48/$C$36),0)</f>
        <v>80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400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600</v>
      </c>
      <c r="C49" s="75">
        <f t="shared" si="0"/>
        <v>120</v>
      </c>
      <c r="D49" s="75">
        <f>IF($B49&gt;(SUM(C49:$C49)),IF(ISERROR($B49/$C$36),"",$B49/$C$36),0)</f>
        <v>120</v>
      </c>
      <c r="E49" s="75">
        <f>IF($B49&gt;(SUM($C49:D49)),IF(ISERROR($B49/$C$36),"",$B49/$C$36),0)</f>
        <v>120</v>
      </c>
      <c r="F49" s="75">
        <f>IF($B49&gt;(SUM($C49:E49)),IF(ISERROR($B49/$C$36),"",$B49/$C$36),0)</f>
        <v>120</v>
      </c>
      <c r="G49" s="75">
        <f>IF($B49&gt;(SUM($C49:F49)),IF(ISERROR($B49/$C$36),"",$B49/$C$36),0)</f>
        <v>120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600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1500</v>
      </c>
      <c r="C50" s="75">
        <f t="shared" si="0"/>
        <v>300</v>
      </c>
      <c r="D50" s="75">
        <f>IF($B50&gt;(SUM(C50:$C50)),IF(ISERROR($B50/$C$36),"",$B50/$C$36),0)</f>
        <v>300</v>
      </c>
      <c r="E50" s="75">
        <f>IF($B50&gt;(SUM($C50:D50)),IF(ISERROR($B50/$C$36),"",$B50/$C$36),0)</f>
        <v>300</v>
      </c>
      <c r="F50" s="75">
        <f>IF($B50&gt;(SUM($C50:E50)),IF(ISERROR($B50/$C$36),"",$B50/$C$36),0)</f>
        <v>300</v>
      </c>
      <c r="G50" s="75">
        <f>IF($B50&gt;(SUM($C50:F50)),IF(ISERROR($B50/$C$36),"",$B50/$C$36),0)</f>
        <v>300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1500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3000</v>
      </c>
      <c r="C52" s="75">
        <f t="shared" si="0"/>
        <v>600</v>
      </c>
      <c r="D52" s="75">
        <f>IF($B52&gt;(SUM(C52:$C52)),IF(ISERROR($B52/$C$36),"",$B52/$C$36),0)</f>
        <v>600</v>
      </c>
      <c r="E52" s="75">
        <f>IF($B52&gt;(SUM($C52:D52)),IF(ISERROR($B52/$C$36),"",$B52/$C$36),0)</f>
        <v>600</v>
      </c>
      <c r="F52" s="75">
        <f>IF($B52&gt;(SUM($C52:E52)),IF(ISERROR($B52/$C$36),"",$B52/$C$36),0)</f>
        <v>600</v>
      </c>
      <c r="G52" s="75">
        <f>IF($B52&gt;(SUM($C52:F52)),IF(ISERROR($B52/$C$36),"",$B52/$C$36),0)</f>
        <v>600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3000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800</v>
      </c>
      <c r="D53" s="75">
        <f>IF($B53&gt;(SUM(C53:$C53)),IF(ISERROR($B53/$C$36),"",$B53/$C$36),0)</f>
        <v>800</v>
      </c>
      <c r="E53" s="75">
        <f>IF($B53&gt;(SUM($C53:D53)),IF(ISERROR($B53/$C$36),"",$B53/$C$36),0)</f>
        <v>800</v>
      </c>
      <c r="F53" s="75">
        <f>IF($B53&gt;(SUM($C53:E53)),IF(ISERROR($B53/$C$36),"",$B53/$C$36),0)</f>
        <v>800</v>
      </c>
      <c r="G53" s="75">
        <f>IF($B53&gt;(SUM($C53:F53)),IF(ISERROR($B53/$C$36),"",$B53/$C$36),0)</f>
        <v>800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300</v>
      </c>
      <c r="D54" s="75">
        <f>IF($B54&gt;(SUM(C54:$C54)),IF(ISERROR($B54/$C$36),"",$B54/$C$36),0)</f>
        <v>300</v>
      </c>
      <c r="E54" s="75">
        <f>IF($B54&gt;(SUM($C54:D54)),IF(ISERROR($B54/$C$36),"",$B54/$C$36),0)</f>
        <v>300</v>
      </c>
      <c r="F54" s="75">
        <f>IF($B54&gt;(SUM($C54:E54)),IF(ISERROR($B54/$C$36),"",$B54/$C$36),0)</f>
        <v>300</v>
      </c>
      <c r="G54" s="75">
        <f>IF($B54&gt;(SUM($C54:F54)),IF(ISERROR($B54/$C$36),"",$B54/$C$36),0)</f>
        <v>300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1500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283</v>
      </c>
    </row>
    <row r="58" spans="1:13" ht="22.5" customHeight="1" x14ac:dyDescent="0.25">
      <c r="B58" s="222" t="s">
        <v>246</v>
      </c>
    </row>
    <row r="59" spans="1:13" ht="15.1" customHeight="1" x14ac:dyDescent="0.25">
      <c r="A59" s="276" t="s">
        <v>257</v>
      </c>
      <c r="B59" s="255">
        <v>54300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278</v>
      </c>
      <c r="D60" s="272" t="s">
        <v>249</v>
      </c>
      <c r="F60" s="89"/>
      <c r="G60" s="233"/>
      <c r="H60" s="233"/>
    </row>
    <row r="61" spans="1:13" ht="15.1" customHeight="1" x14ac:dyDescent="0.25">
      <c r="A61" s="277" t="s">
        <v>297</v>
      </c>
      <c r="B61" s="255">
        <v>52000</v>
      </c>
      <c r="C61" s="257">
        <v>0.03</v>
      </c>
      <c r="D61" s="258">
        <f>7*12</f>
        <v>84</v>
      </c>
      <c r="E61" s="89" t="s">
        <v>285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285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285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285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285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285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106300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171</v>
      </c>
      <c r="D69" s="82" t="s">
        <v>172</v>
      </c>
      <c r="E69" s="8" t="s">
        <v>173</v>
      </c>
      <c r="F69" s="8" t="s">
        <v>103</v>
      </c>
      <c r="G69" s="124" t="s">
        <v>165</v>
      </c>
      <c r="H69" s="124" t="s">
        <v>166</v>
      </c>
      <c r="I69" s="124" t="s">
        <v>167</v>
      </c>
      <c r="J69" s="124" t="s">
        <v>168</v>
      </c>
      <c r="K69" s="124" t="s">
        <v>169</v>
      </c>
      <c r="L69" s="124" t="s">
        <v>170</v>
      </c>
    </row>
    <row r="70" spans="1:12" ht="15.1" hidden="1" x14ac:dyDescent="0.25">
      <c r="A70" t="s">
        <v>50</v>
      </c>
      <c r="B70" s="80">
        <f>IF(ISERROR((PMT(C61/12,D61,B61))*-1),0,(PMT(C61/12,D61,B61))*-1)</f>
        <v>687.09160340401229</v>
      </c>
      <c r="C70" s="79">
        <f>B70*D61</f>
        <v>57715.694685937029</v>
      </c>
      <c r="D70" s="82">
        <f>IF(ISERROR(B61/D61),0,B61/D61)</f>
        <v>619.04761904761904</v>
      </c>
      <c r="E70" s="152">
        <f>B70-D70</f>
        <v>68.043984356393253</v>
      </c>
      <c r="F70" s="80">
        <f>E70*D61</f>
        <v>5715.6946859370328</v>
      </c>
      <c r="G70" s="153">
        <f>IF($D61&gt;12,$E70*12,$E70*$D61)</f>
        <v>816.52781227671903</v>
      </c>
      <c r="H70" s="153">
        <f>IF($D61-12&lt;0,0,IF($D61&gt;24,$E70*12,($D61-12)*$E70))</f>
        <v>816.52781227671903</v>
      </c>
      <c r="I70" s="153">
        <f>IF($D61-24&lt;0,0,IF($D61&gt;36,$E70*12,($D61-24)*$E70))</f>
        <v>816.52781227671903</v>
      </c>
      <c r="J70" s="153">
        <f>IF($D61&gt;12,$D70*12,$D70*$D61)</f>
        <v>7428.5714285714284</v>
      </c>
      <c r="K70" s="153">
        <f>IF($D61-12&lt;0,0,IF($D61&gt;24,$D70*12,($D61-12)*$D70))</f>
        <v>7428.5714285714284</v>
      </c>
      <c r="L70" s="153">
        <f>IF($D61-24&lt;0,0,IF($D61&gt;36,$D70*12,($D61-24)*$D70))</f>
        <v>7428.5714285714284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816.52781227671903</v>
      </c>
      <c r="J73" s="203">
        <f t="shared" si="17"/>
        <v>7428.5714285714284</v>
      </c>
      <c r="K73" s="203">
        <f t="shared" si="17"/>
        <v>7428.5714285714284</v>
      </c>
      <c r="L73" s="203">
        <f t="shared" si="17"/>
        <v>7428.5714285714284</v>
      </c>
    </row>
    <row r="74" spans="1:12" x14ac:dyDescent="0.25">
      <c r="A74" s="4" t="s">
        <v>284</v>
      </c>
    </row>
    <row r="75" spans="1:12" x14ac:dyDescent="0.25"/>
    <row r="76" spans="1:12" x14ac:dyDescent="0.25">
      <c r="B76" s="223" t="s">
        <v>243</v>
      </c>
      <c r="C76" s="223" t="s">
        <v>244</v>
      </c>
      <c r="D76" s="223" t="s">
        <v>245</v>
      </c>
    </row>
    <row r="77" spans="1:12" x14ac:dyDescent="0.25">
      <c r="A77" s="276" t="s">
        <v>20</v>
      </c>
      <c r="B77" s="259">
        <v>500</v>
      </c>
      <c r="C77" s="260">
        <v>550</v>
      </c>
      <c r="D77" s="261">
        <v>600</v>
      </c>
    </row>
    <row r="78" spans="1:12" ht="15.1" customHeight="1" x14ac:dyDescent="0.25">
      <c r="A78" s="276" t="s">
        <v>21</v>
      </c>
      <c r="B78" s="259">
        <v>600</v>
      </c>
      <c r="C78" s="260">
        <v>650</v>
      </c>
      <c r="D78" s="261">
        <v>700</v>
      </c>
      <c r="G78" s="233"/>
      <c r="H78" s="233"/>
    </row>
    <row r="79" spans="1:12" ht="15.1" customHeight="1" x14ac:dyDescent="0.25">
      <c r="A79" s="276" t="s">
        <v>44</v>
      </c>
      <c r="B79" s="259">
        <v>60</v>
      </c>
      <c r="C79" s="260">
        <v>66</v>
      </c>
      <c r="D79" s="261">
        <v>70</v>
      </c>
      <c r="G79" s="233"/>
      <c r="H79" s="233"/>
    </row>
    <row r="80" spans="1:12" ht="15.1" customHeight="1" x14ac:dyDescent="0.25">
      <c r="A80" s="276" t="s">
        <v>261</v>
      </c>
      <c r="B80" s="259">
        <v>450</v>
      </c>
      <c r="C80" s="260">
        <v>500</v>
      </c>
      <c r="D80" s="261">
        <v>600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3500</v>
      </c>
      <c r="C82" s="260">
        <v>3700</v>
      </c>
      <c r="D82" s="261">
        <v>4000</v>
      </c>
      <c r="G82" s="233"/>
      <c r="H82" s="233"/>
    </row>
    <row r="83" spans="1:8" ht="15.1" customHeight="1" x14ac:dyDescent="0.25">
      <c r="A83" s="276" t="s">
        <v>25</v>
      </c>
      <c r="B83" s="259"/>
      <c r="C83" s="260"/>
      <c r="D83" s="261"/>
      <c r="E83" s="5"/>
      <c r="G83" s="233"/>
      <c r="H83" s="233"/>
    </row>
    <row r="84" spans="1:8" ht="15.1" customHeight="1" x14ac:dyDescent="0.25">
      <c r="A84" s="276" t="s">
        <v>26</v>
      </c>
      <c r="B84" s="259">
        <v>600</v>
      </c>
      <c r="C84" s="260">
        <v>700</v>
      </c>
      <c r="D84" s="261">
        <v>800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300</v>
      </c>
      <c r="C85" s="260">
        <v>350</v>
      </c>
      <c r="D85" s="261">
        <v>400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350</v>
      </c>
      <c r="C86" s="260">
        <v>400</v>
      </c>
      <c r="D86" s="261">
        <v>400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1500</v>
      </c>
      <c r="C87" s="260">
        <v>1500</v>
      </c>
      <c r="D87" s="261">
        <v>1600</v>
      </c>
      <c r="E87" s="5"/>
      <c r="G87" s="233"/>
      <c r="H87" s="233"/>
    </row>
    <row r="88" spans="1:8" x14ac:dyDescent="0.25">
      <c r="A88" s="276" t="s">
        <v>29</v>
      </c>
      <c r="B88" s="259">
        <v>16000</v>
      </c>
      <c r="C88" s="260">
        <v>16500</v>
      </c>
      <c r="D88" s="261">
        <v>17000</v>
      </c>
      <c r="E88" s="5"/>
    </row>
    <row r="89" spans="1:8" x14ac:dyDescent="0.25">
      <c r="A89" s="276" t="s">
        <v>30</v>
      </c>
      <c r="B89" s="259">
        <v>2900</v>
      </c>
      <c r="C89" s="260">
        <v>3000</v>
      </c>
      <c r="D89" s="261">
        <v>3100</v>
      </c>
      <c r="E89" s="5"/>
    </row>
    <row r="90" spans="1:8" x14ac:dyDescent="0.25">
      <c r="A90" s="276" t="s">
        <v>31</v>
      </c>
      <c r="B90" s="259">
        <v>450</v>
      </c>
      <c r="C90" s="260">
        <v>500</v>
      </c>
      <c r="D90" s="261">
        <v>550</v>
      </c>
      <c r="E90" s="5"/>
    </row>
    <row r="91" spans="1:8" x14ac:dyDescent="0.25">
      <c r="A91" s="276" t="s">
        <v>45</v>
      </c>
      <c r="B91" s="259"/>
      <c r="C91" s="260">
        <v>900</v>
      </c>
      <c r="D91" s="261">
        <v>940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330</v>
      </c>
      <c r="C93" s="260">
        <v>350</v>
      </c>
      <c r="D93" s="261">
        <v>350</v>
      </c>
      <c r="E93" s="89"/>
    </row>
    <row r="94" spans="1:8" x14ac:dyDescent="0.25">
      <c r="A94" s="278" t="s">
        <v>304</v>
      </c>
      <c r="B94" s="259">
        <v>1900</v>
      </c>
      <c r="C94" s="260">
        <v>2200</v>
      </c>
      <c r="D94" s="261">
        <v>2300</v>
      </c>
      <c r="E94" s="89"/>
    </row>
    <row r="95" spans="1:8" x14ac:dyDescent="0.25">
      <c r="A95" s="278"/>
      <c r="B95" s="259"/>
      <c r="C95" s="260"/>
      <c r="D95" s="261"/>
      <c r="E95" s="89"/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29440</v>
      </c>
      <c r="C97" s="10">
        <f>SUM(C77:C95)</f>
        <v>31866</v>
      </c>
      <c r="D97" s="10">
        <f>SUM(D77:D95)</f>
        <v>33410</v>
      </c>
    </row>
    <row r="98" spans="1:9" x14ac:dyDescent="0.25"/>
    <row r="99" spans="1:9" ht="24.1" customHeight="1" x14ac:dyDescent="0.3">
      <c r="A99" s="270" t="s">
        <v>120</v>
      </c>
    </row>
    <row r="100" spans="1:9" ht="19.600000000000001" customHeight="1" x14ac:dyDescent="0.25">
      <c r="A100" s="4" t="s">
        <v>289</v>
      </c>
    </row>
    <row r="101" spans="1:9" x14ac:dyDescent="0.25"/>
    <row r="102" spans="1:9" ht="29.1" x14ac:dyDescent="0.25">
      <c r="A102" s="91" t="s">
        <v>300</v>
      </c>
      <c r="B102" s="11" t="s">
        <v>53</v>
      </c>
      <c r="C102" s="11" t="s">
        <v>54</v>
      </c>
      <c r="D102" s="11" t="s">
        <v>55</v>
      </c>
      <c r="F102" s="204" t="s">
        <v>303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208</v>
      </c>
      <c r="B103" s="262">
        <v>22</v>
      </c>
      <c r="C103" s="255">
        <v>30</v>
      </c>
      <c r="D103" s="12">
        <f>B103*C103</f>
        <v>660</v>
      </c>
      <c r="F103" s="281" t="s">
        <v>208</v>
      </c>
      <c r="G103" s="262">
        <v>22</v>
      </c>
      <c r="H103" s="255">
        <v>200</v>
      </c>
      <c r="I103" s="12">
        <f>G103*H103</f>
        <v>4400</v>
      </c>
    </row>
    <row r="104" spans="1:9" x14ac:dyDescent="0.25">
      <c r="A104" s="279" t="s">
        <v>209</v>
      </c>
      <c r="B104" s="262">
        <v>22</v>
      </c>
      <c r="C104" s="255">
        <v>40</v>
      </c>
      <c r="D104" s="12">
        <f t="shared" ref="D104:D114" si="18">B104*C104</f>
        <v>880</v>
      </c>
      <c r="F104" s="282" t="s">
        <v>209</v>
      </c>
      <c r="G104" s="262">
        <v>22</v>
      </c>
      <c r="H104" s="255">
        <v>220</v>
      </c>
      <c r="I104" s="12">
        <f t="shared" ref="I104:I114" si="19">G104*H104</f>
        <v>4840</v>
      </c>
    </row>
    <row r="105" spans="1:9" x14ac:dyDescent="0.25">
      <c r="A105" s="279" t="s">
        <v>210</v>
      </c>
      <c r="B105" s="262">
        <v>22</v>
      </c>
      <c r="C105" s="255">
        <v>40</v>
      </c>
      <c r="D105" s="12">
        <f t="shared" si="18"/>
        <v>880</v>
      </c>
      <c r="F105" s="282" t="s">
        <v>210</v>
      </c>
      <c r="G105" s="262">
        <v>22</v>
      </c>
      <c r="H105" s="255">
        <v>240</v>
      </c>
      <c r="I105" s="12">
        <f t="shared" si="19"/>
        <v>5280</v>
      </c>
    </row>
    <row r="106" spans="1:9" x14ac:dyDescent="0.25">
      <c r="A106" s="279" t="s">
        <v>215</v>
      </c>
      <c r="B106" s="262">
        <v>20</v>
      </c>
      <c r="C106" s="255">
        <v>50</v>
      </c>
      <c r="D106" s="12">
        <f t="shared" si="18"/>
        <v>1000</v>
      </c>
      <c r="F106" s="282" t="s">
        <v>215</v>
      </c>
      <c r="G106" s="262">
        <v>20</v>
      </c>
      <c r="H106" s="255">
        <v>300</v>
      </c>
      <c r="I106" s="12">
        <f t="shared" si="19"/>
        <v>6000</v>
      </c>
    </row>
    <row r="107" spans="1:9" x14ac:dyDescent="0.25">
      <c r="A107" s="279" t="s">
        <v>217</v>
      </c>
      <c r="B107" s="262">
        <v>22</v>
      </c>
      <c r="C107" s="255">
        <v>60</v>
      </c>
      <c r="D107" s="12">
        <f t="shared" si="18"/>
        <v>1320</v>
      </c>
      <c r="F107" s="282" t="s">
        <v>217</v>
      </c>
      <c r="G107" s="262">
        <v>22</v>
      </c>
      <c r="H107" s="255">
        <v>350</v>
      </c>
      <c r="I107" s="12">
        <f t="shared" si="19"/>
        <v>7700</v>
      </c>
    </row>
    <row r="108" spans="1:9" x14ac:dyDescent="0.25">
      <c r="A108" s="279" t="s">
        <v>218</v>
      </c>
      <c r="B108" s="262">
        <v>22</v>
      </c>
      <c r="C108" s="255">
        <v>80</v>
      </c>
      <c r="D108" s="12">
        <f t="shared" si="18"/>
        <v>1760</v>
      </c>
      <c r="F108" s="282" t="s">
        <v>218</v>
      </c>
      <c r="G108" s="262">
        <v>22</v>
      </c>
      <c r="H108" s="255">
        <v>380</v>
      </c>
      <c r="I108" s="12">
        <f t="shared" si="19"/>
        <v>8360</v>
      </c>
    </row>
    <row r="109" spans="1:9" x14ac:dyDescent="0.25">
      <c r="A109" s="279" t="s">
        <v>219</v>
      </c>
      <c r="B109" s="262">
        <v>22</v>
      </c>
      <c r="C109" s="255">
        <v>80</v>
      </c>
      <c r="D109" s="12">
        <f t="shared" si="18"/>
        <v>1760</v>
      </c>
      <c r="F109" s="282" t="s">
        <v>219</v>
      </c>
      <c r="G109" s="262">
        <v>22</v>
      </c>
      <c r="H109" s="255">
        <v>380</v>
      </c>
      <c r="I109" s="12">
        <f t="shared" si="19"/>
        <v>8360</v>
      </c>
    </row>
    <row r="110" spans="1:9" x14ac:dyDescent="0.25">
      <c r="A110" s="279" t="s">
        <v>220</v>
      </c>
      <c r="B110" s="262">
        <v>15</v>
      </c>
      <c r="C110" s="255">
        <v>80</v>
      </c>
      <c r="D110" s="12">
        <f t="shared" si="18"/>
        <v>1200</v>
      </c>
      <c r="F110" s="282" t="s">
        <v>220</v>
      </c>
      <c r="G110" s="262">
        <v>15</v>
      </c>
      <c r="H110" s="255">
        <v>380</v>
      </c>
      <c r="I110" s="12">
        <f t="shared" si="19"/>
        <v>5700</v>
      </c>
    </row>
    <row r="111" spans="1:9" x14ac:dyDescent="0.25">
      <c r="A111" s="279" t="s">
        <v>221</v>
      </c>
      <c r="B111" s="262">
        <v>22</v>
      </c>
      <c r="C111" s="255">
        <v>70</v>
      </c>
      <c r="D111" s="12">
        <f t="shared" si="18"/>
        <v>1540</v>
      </c>
      <c r="F111" s="282" t="s">
        <v>221</v>
      </c>
      <c r="G111" s="262">
        <v>22</v>
      </c>
      <c r="H111" s="255">
        <v>380</v>
      </c>
      <c r="I111" s="12">
        <f t="shared" si="19"/>
        <v>8360</v>
      </c>
    </row>
    <row r="112" spans="1:9" x14ac:dyDescent="0.25">
      <c r="A112" s="279" t="s">
        <v>222</v>
      </c>
      <c r="B112" s="262">
        <v>15</v>
      </c>
      <c r="C112" s="255">
        <v>70</v>
      </c>
      <c r="D112" s="12">
        <f t="shared" si="18"/>
        <v>1050</v>
      </c>
      <c r="F112" s="282" t="s">
        <v>222</v>
      </c>
      <c r="G112" s="262">
        <v>15</v>
      </c>
      <c r="H112" s="255">
        <v>380</v>
      </c>
      <c r="I112" s="12">
        <f t="shared" si="19"/>
        <v>5700</v>
      </c>
    </row>
    <row r="113" spans="1:9" x14ac:dyDescent="0.25">
      <c r="A113" s="279" t="s">
        <v>223</v>
      </c>
      <c r="B113" s="262">
        <v>22</v>
      </c>
      <c r="C113" s="255">
        <v>80</v>
      </c>
      <c r="D113" s="12">
        <f t="shared" si="18"/>
        <v>1760</v>
      </c>
      <c r="F113" s="282" t="s">
        <v>223</v>
      </c>
      <c r="G113" s="262">
        <v>22</v>
      </c>
      <c r="H113" s="255">
        <v>380</v>
      </c>
      <c r="I113" s="12">
        <f t="shared" si="19"/>
        <v>8360</v>
      </c>
    </row>
    <row r="114" spans="1:9" ht="15.25" thickBot="1" x14ac:dyDescent="0.3">
      <c r="A114" s="279" t="s">
        <v>224</v>
      </c>
      <c r="B114" s="262">
        <v>20</v>
      </c>
      <c r="C114" s="255">
        <v>110</v>
      </c>
      <c r="D114" s="12">
        <f t="shared" si="18"/>
        <v>2200</v>
      </c>
      <c r="F114" s="282" t="s">
        <v>224</v>
      </c>
      <c r="G114" s="262">
        <v>20</v>
      </c>
      <c r="H114" s="255">
        <v>380</v>
      </c>
      <c r="I114" s="12">
        <f t="shared" si="19"/>
        <v>7600</v>
      </c>
    </row>
    <row r="115" spans="1:9" ht="15.25" thickBot="1" x14ac:dyDescent="0.3">
      <c r="A115" s="14" t="s">
        <v>48</v>
      </c>
      <c r="D115" s="13">
        <f>SUM(D103:D114)</f>
        <v>16010</v>
      </c>
      <c r="F115" s="205" t="s">
        <v>48</v>
      </c>
      <c r="I115" s="13">
        <f>SUM(I103:I114)</f>
        <v>80660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0.15</v>
      </c>
      <c r="F117" s="206" t="s">
        <v>119</v>
      </c>
      <c r="I117" s="263">
        <v>0.15</v>
      </c>
    </row>
    <row r="118" spans="1:9" ht="15.95" x14ac:dyDescent="0.3">
      <c r="A118" s="2" t="s">
        <v>57</v>
      </c>
      <c r="D118" s="263">
        <v>0.1</v>
      </c>
      <c r="F118" s="206" t="s">
        <v>118</v>
      </c>
      <c r="I118" s="263">
        <v>0.1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91" t="s">
        <v>58</v>
      </c>
      <c r="B121" s="291"/>
      <c r="C121" s="291"/>
      <c r="D121" s="291"/>
    </row>
    <row r="122" spans="1:9" x14ac:dyDescent="0.25"/>
    <row r="123" spans="1:9" ht="15.95" x14ac:dyDescent="0.3">
      <c r="A123" s="18" t="s">
        <v>182</v>
      </c>
      <c r="D123" s="264">
        <v>0.45</v>
      </c>
      <c r="E123" s="160" t="s">
        <v>183</v>
      </c>
    </row>
    <row r="124" spans="1:9" x14ac:dyDescent="0.25">
      <c r="D124" s="285" t="s">
        <v>286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254</v>
      </c>
      <c r="D127" s="265">
        <v>0</v>
      </c>
      <c r="E127" s="160" t="s">
        <v>287</v>
      </c>
      <c r="G127" s="252"/>
      <c r="H127" s="252"/>
    </row>
    <row r="128" spans="1:9" ht="15.75" customHeight="1" x14ac:dyDescent="0.3">
      <c r="A128" s="19"/>
      <c r="C128" s="124" t="s">
        <v>255</v>
      </c>
      <c r="D128" s="265">
        <v>30</v>
      </c>
      <c r="E128" s="160" t="s">
        <v>288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250</v>
      </c>
      <c r="B133" s="259">
        <f>1350*6</f>
        <v>8100</v>
      </c>
      <c r="C133" s="260">
        <v>8200</v>
      </c>
      <c r="D133" s="261">
        <v>8300</v>
      </c>
      <c r="E133" s="207" t="s">
        <v>236</v>
      </c>
      <c r="G133" s="252"/>
      <c r="H133" s="252"/>
    </row>
    <row r="134" spans="1:9" ht="15.1" customHeight="1" x14ac:dyDescent="0.25">
      <c r="A134" s="283" t="s">
        <v>251</v>
      </c>
      <c r="B134" s="259">
        <v>15000</v>
      </c>
      <c r="C134" s="260">
        <v>22000</v>
      </c>
      <c r="D134" s="261">
        <v>25000</v>
      </c>
      <c r="E134" s="207" t="s">
        <v>236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266</v>
      </c>
      <c r="C136" s="266" t="s">
        <v>88</v>
      </c>
      <c r="D136" s="94" t="s">
        <v>290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267</v>
      </c>
      <c r="B138" s="9" t="s">
        <v>41</v>
      </c>
      <c r="C138" s="9" t="s">
        <v>42</v>
      </c>
      <c r="D138" s="9" t="s">
        <v>43</v>
      </c>
      <c r="F138" s="1" t="s">
        <v>268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5832</v>
      </c>
      <c r="C139" s="73">
        <f>C133*0.72</f>
        <v>5904</v>
      </c>
      <c r="D139" s="73">
        <f>D133*0.72</f>
        <v>5976</v>
      </c>
      <c r="F139" t="s">
        <v>90</v>
      </c>
      <c r="G139" s="245">
        <f>B133*0.72</f>
        <v>5832</v>
      </c>
      <c r="H139" s="246">
        <f>C133*0.72</f>
        <v>5904</v>
      </c>
      <c r="I139" s="73">
        <f>D133*0.72</f>
        <v>5976</v>
      </c>
    </row>
    <row r="140" spans="1:9" ht="15.1" hidden="1" customHeight="1" x14ac:dyDescent="0.25">
      <c r="A140" t="s">
        <v>1</v>
      </c>
      <c r="B140" s="71">
        <f>+'Plan financier à imprimer'!AG11*12.6%</f>
        <v>2017.26</v>
      </c>
      <c r="C140" s="71">
        <f>+'Plan financier à imprimer'!AH11*12.6%</f>
        <v>2319.8490000000002</v>
      </c>
      <c r="D140" s="71">
        <f>+'Plan financier à imprimer'!AI11*12.6%</f>
        <v>2551.8339000000001</v>
      </c>
      <c r="E140" s="93" t="s">
        <v>130</v>
      </c>
      <c r="F140" t="s">
        <v>1</v>
      </c>
      <c r="G140" s="245">
        <f>+'Plan financier à imprimer'!AG11*6.3%</f>
        <v>1008.63</v>
      </c>
      <c r="H140" s="247">
        <f>+'Plan financier à imprimer'!AH11*12.6%</f>
        <v>2319.8490000000002</v>
      </c>
      <c r="I140" s="71">
        <f>+'Plan financier à imprimer'!AI11*12.6%</f>
        <v>2551.8339000000001</v>
      </c>
    </row>
    <row r="141" spans="1:9" ht="15.1" hidden="1" customHeight="1" x14ac:dyDescent="0.25">
      <c r="A141" t="s">
        <v>1</v>
      </c>
      <c r="B141" s="71">
        <f>+'Plan financier à imprimer'!AG12*21.9%</f>
        <v>17664.539999999997</v>
      </c>
      <c r="C141" s="71">
        <f>+'Plan financier à imprimer'!AH12*21.9%</f>
        <v>20314.220999999998</v>
      </c>
      <c r="D141" s="71">
        <f>+'Plan financier à imprimer'!AI12*21.9%</f>
        <v>22345.643099999998</v>
      </c>
      <c r="E141" s="93" t="s">
        <v>131</v>
      </c>
      <c r="F141" t="s">
        <v>1</v>
      </c>
      <c r="G141" s="245">
        <f>+'Plan financier à imprimer'!AG12*11%</f>
        <v>8872.6</v>
      </c>
      <c r="H141" s="247">
        <f>+'Plan financier à imprimer'!AH12*21.9%</f>
        <v>20314.220999999998</v>
      </c>
      <c r="I141" s="71">
        <f>+'Plan financier à imprimer'!AI12*21.9%</f>
        <v>22345.643099999998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12845.091656316983</v>
      </c>
      <c r="C142" s="71">
        <f>IF('Plan financier à imprimer'!AH52*30%&lt;3456,3456,'Plan financier à imprimer'!AH52*30%)</f>
        <v>16091.639156316982</v>
      </c>
      <c r="D142" s="71">
        <f>IF('Plan financier à imprimer'!AI52*30%&lt;3456,3456,'Plan financier à imprimer'!AI52*30%)</f>
        <v>18663.398906316979</v>
      </c>
      <c r="F142" t="s">
        <v>110</v>
      </c>
      <c r="G142" s="245">
        <v>1305</v>
      </c>
      <c r="H142" s="248">
        <f>IF('Plan financier à imprimer'!AH52*32%&lt;3456,3456,'Plan financier à imprimer'!AH52*32%)</f>
        <v>17164.415100071448</v>
      </c>
      <c r="I142" s="72">
        <f>IF('Plan financier à imprimer'!AI52*32%&lt;3456,3456,'Plan financier à imprimer'!AI52*32%)</f>
        <v>19907.625500071445</v>
      </c>
    </row>
    <row r="143" spans="1:9" ht="15.75" hidden="1" customHeight="1" x14ac:dyDescent="0.25">
      <c r="A143" t="s">
        <v>109</v>
      </c>
      <c r="B143" s="71">
        <f>IF(B134*45%&lt;3456,3456,B134*45%)</f>
        <v>6750</v>
      </c>
      <c r="C143" s="71">
        <f>IF(C134*45%&lt;3456,3456,C134*45%)</f>
        <v>9900</v>
      </c>
      <c r="D143" s="71">
        <f>IF(D134*45%&lt;3456,3456,D134*45%)</f>
        <v>11250</v>
      </c>
      <c r="F143" t="s">
        <v>109</v>
      </c>
      <c r="G143" s="245">
        <v>1305</v>
      </c>
      <c r="H143" s="248">
        <f>IF(C134*45%&lt;3456,3456,C134*45%)</f>
        <v>9900</v>
      </c>
      <c r="I143" s="72">
        <f>IF(D134*45%&lt;3456,3456,D134*45%)</f>
        <v>11250</v>
      </c>
    </row>
    <row r="144" spans="1:9" ht="15.1" hidden="1" x14ac:dyDescent="0.25">
      <c r="A144" t="s">
        <v>111</v>
      </c>
      <c r="B144" s="71">
        <f>IF(B134*45%&lt;3456,3456,B134*45%)</f>
        <v>6750</v>
      </c>
      <c r="C144" s="71">
        <f>IF(C134*45%&lt;3456,3456,C134*45%)</f>
        <v>9900</v>
      </c>
      <c r="D144" s="71">
        <f>IF(D134*45%&lt;3456,3456,D134*45%)</f>
        <v>11250</v>
      </c>
      <c r="F144" t="s">
        <v>111</v>
      </c>
      <c r="G144" s="245">
        <v>1305</v>
      </c>
      <c r="H144" s="248">
        <f>IF(C134*45%&lt;3456,3456,C134*45%)</f>
        <v>9900</v>
      </c>
      <c r="I144" s="72">
        <f>IF(D134*45%&lt;3456,3456,D134*45%)</f>
        <v>11250</v>
      </c>
    </row>
    <row r="145" spans="1:9" ht="15.1" hidden="1" x14ac:dyDescent="0.25">
      <c r="A145" t="s">
        <v>112</v>
      </c>
      <c r="B145" s="71">
        <f>B134*70%</f>
        <v>10500</v>
      </c>
      <c r="C145" s="71">
        <f t="shared" ref="C145:D145" si="20">C134*70%</f>
        <v>15399.999999999998</v>
      </c>
      <c r="D145" s="71">
        <f t="shared" si="20"/>
        <v>17500</v>
      </c>
      <c r="F145" t="s">
        <v>112</v>
      </c>
      <c r="G145" s="245">
        <f>B134*33%</f>
        <v>4950</v>
      </c>
      <c r="H145" s="245">
        <f>C134*70%</f>
        <v>15399.999999999998</v>
      </c>
      <c r="I145" s="245">
        <f>D134*70%</f>
        <v>17500</v>
      </c>
    </row>
    <row r="146" spans="1:9" ht="15.1" hidden="1" x14ac:dyDescent="0.25">
      <c r="A146" t="s">
        <v>113</v>
      </c>
      <c r="B146" s="71">
        <f>B134*70%</f>
        <v>10500</v>
      </c>
      <c r="C146" s="71">
        <f t="shared" ref="C146:D146" si="21">C134*70%</f>
        <v>15399.999999999998</v>
      </c>
      <c r="D146" s="71">
        <f t="shared" si="21"/>
        <v>17500</v>
      </c>
      <c r="F146" t="s">
        <v>113</v>
      </c>
      <c r="G146" s="245">
        <f>B134*33%</f>
        <v>4950</v>
      </c>
      <c r="H146" s="245">
        <f>C134*70%</f>
        <v>15399.999999999998</v>
      </c>
      <c r="I146" s="245">
        <f>D134*70%</f>
        <v>17500</v>
      </c>
    </row>
    <row r="147" spans="1:9" ht="15.1" hidden="1" x14ac:dyDescent="0.25">
      <c r="A147" s="1" t="s">
        <v>108</v>
      </c>
      <c r="B147" s="73">
        <f>SUMIF($A$140:$A$146,$B$8,B140:B146)</f>
        <v>10500</v>
      </c>
      <c r="C147" s="73">
        <f>SUMIF($A$140:$A$146,$B$8,C140:C146)</f>
        <v>15399.999999999998</v>
      </c>
      <c r="D147" s="73">
        <f>SUMIF($A$140:$A$146,$B$8,D140:D146)</f>
        <v>17500</v>
      </c>
      <c r="F147" s="1" t="s">
        <v>108</v>
      </c>
      <c r="G147" s="245">
        <f>SUMIF($A$140:$A$146,$B$8,G140:G146)</f>
        <v>4950</v>
      </c>
      <c r="H147" s="246">
        <f>SUMIF($A$140:$A$146,$B$8,H140:H146)</f>
        <v>15399.999999999998</v>
      </c>
      <c r="I147" s="246">
        <f>SUMIF($A$140:$A$146,$B$8,I140:I146)</f>
        <v>17500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291</v>
      </c>
      <c r="G149" s="252"/>
      <c r="H149" s="252"/>
    </row>
    <row r="150" spans="1:9" ht="15.75" customHeight="1" thickBot="1" x14ac:dyDescent="0.3">
      <c r="D150" s="222" t="s">
        <v>252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292</v>
      </c>
      <c r="E153" s="171"/>
      <c r="G153" s="252"/>
      <c r="H153" s="252"/>
    </row>
    <row r="154" spans="1:9" ht="15.75" customHeight="1" thickBot="1" x14ac:dyDescent="0.3">
      <c r="D154" s="222" t="s">
        <v>252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277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jnNPoftNy56gQoGNhOYKQ9YOLnQBw+R4QQO77pLzC/8/Y2mucAdrD/k1aWxYEUFt9sTGp8Dv/mMA4fY4SGoi5Q==" saltValue="mJ9qKsMzOVZW90ZLbxTeWg==" spinCount="100000" sheet="1" objects="1" scenarios="1"/>
  <mergeCells count="11">
    <mergeCell ref="B10:C10"/>
    <mergeCell ref="A121:D121"/>
    <mergeCell ref="B13:D13"/>
    <mergeCell ref="B8:C8"/>
    <mergeCell ref="B11:C11"/>
    <mergeCell ref="B12:C12"/>
    <mergeCell ref="H4:I5"/>
    <mergeCell ref="H6:I7"/>
    <mergeCell ref="B6:C6"/>
    <mergeCell ref="B7:C7"/>
    <mergeCell ref="B9:C9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294" t="s">
        <v>133</v>
      </c>
      <c r="L2" s="295"/>
      <c r="M2" s="295"/>
      <c r="N2" s="295"/>
      <c r="O2" s="295"/>
      <c r="P2" s="295"/>
      <c r="Q2" s="296"/>
      <c r="T2" s="294" t="s">
        <v>138</v>
      </c>
      <c r="U2" s="295"/>
      <c r="V2" s="295"/>
      <c r="W2" s="295"/>
      <c r="X2" s="295"/>
      <c r="Y2" s="295"/>
      <c r="Z2" s="296"/>
      <c r="AC2" s="294" t="s">
        <v>79</v>
      </c>
      <c r="AD2" s="295"/>
      <c r="AE2" s="295"/>
      <c r="AF2" s="295"/>
      <c r="AG2" s="295"/>
      <c r="AH2" s="295"/>
      <c r="AI2" s="296"/>
      <c r="AL2" s="294" t="s">
        <v>150</v>
      </c>
      <c r="AM2" s="295"/>
      <c r="AN2" s="295"/>
      <c r="AO2" s="295"/>
      <c r="AP2" s="295"/>
      <c r="AQ2" s="295"/>
      <c r="AR2" s="295"/>
      <c r="AS2" s="295"/>
      <c r="AT2" s="296"/>
      <c r="AW2" s="294" t="s">
        <v>174</v>
      </c>
      <c r="AX2" s="295"/>
      <c r="AY2" s="295"/>
      <c r="AZ2" s="295"/>
      <c r="BA2" s="295"/>
      <c r="BB2" s="295"/>
      <c r="BC2" s="296"/>
      <c r="BF2" s="294" t="s">
        <v>191</v>
      </c>
      <c r="BG2" s="295"/>
      <c r="BH2" s="295"/>
      <c r="BI2" s="295"/>
      <c r="BJ2" s="295"/>
      <c r="BK2" s="295"/>
      <c r="BL2" s="296"/>
      <c r="BO2" s="294" t="s">
        <v>207</v>
      </c>
      <c r="BP2" s="295"/>
      <c r="BQ2" s="295"/>
      <c r="BR2" s="295"/>
      <c r="BS2" s="295"/>
      <c r="BT2" s="295"/>
      <c r="BU2" s="295"/>
      <c r="BV2" s="296"/>
      <c r="BY2" s="294" t="s">
        <v>216</v>
      </c>
      <c r="BZ2" s="295"/>
      <c r="CA2" s="295"/>
      <c r="CB2" s="295"/>
      <c r="CC2" s="295"/>
      <c r="CD2" s="295"/>
      <c r="CE2" s="295"/>
      <c r="CF2" s="296"/>
    </row>
    <row r="3" spans="2:84" ht="15.1" customHeight="1" x14ac:dyDescent="0.25">
      <c r="B3" s="26"/>
      <c r="E3" s="250"/>
      <c r="F3" s="221"/>
      <c r="G3" s="221"/>
      <c r="H3" s="27"/>
      <c r="K3" s="297"/>
      <c r="L3" s="298"/>
      <c r="M3" s="298"/>
      <c r="N3" s="298"/>
      <c r="O3" s="298"/>
      <c r="P3" s="298"/>
      <c r="Q3" s="299"/>
      <c r="T3" s="297"/>
      <c r="U3" s="298"/>
      <c r="V3" s="298"/>
      <c r="W3" s="298"/>
      <c r="X3" s="298"/>
      <c r="Y3" s="298"/>
      <c r="Z3" s="299"/>
      <c r="AC3" s="297"/>
      <c r="AD3" s="298"/>
      <c r="AE3" s="298"/>
      <c r="AF3" s="298"/>
      <c r="AG3" s="298"/>
      <c r="AH3" s="298"/>
      <c r="AI3" s="299"/>
      <c r="AL3" s="297"/>
      <c r="AM3" s="298"/>
      <c r="AN3" s="298"/>
      <c r="AO3" s="298"/>
      <c r="AP3" s="298"/>
      <c r="AQ3" s="298"/>
      <c r="AR3" s="298"/>
      <c r="AS3" s="298"/>
      <c r="AT3" s="299"/>
      <c r="AW3" s="297"/>
      <c r="AX3" s="298"/>
      <c r="AY3" s="298"/>
      <c r="AZ3" s="298"/>
      <c r="BA3" s="298"/>
      <c r="BB3" s="298"/>
      <c r="BC3" s="299"/>
      <c r="BF3" s="297"/>
      <c r="BG3" s="298"/>
      <c r="BH3" s="298"/>
      <c r="BI3" s="298"/>
      <c r="BJ3" s="298"/>
      <c r="BK3" s="298"/>
      <c r="BL3" s="299"/>
      <c r="BO3" s="297"/>
      <c r="BP3" s="298"/>
      <c r="BQ3" s="298"/>
      <c r="BR3" s="298"/>
      <c r="BS3" s="298"/>
      <c r="BT3" s="298"/>
      <c r="BU3" s="298"/>
      <c r="BV3" s="299"/>
      <c r="BY3" s="297"/>
      <c r="BZ3" s="298"/>
      <c r="CA3" s="298"/>
      <c r="CB3" s="298"/>
      <c r="CC3" s="298"/>
      <c r="CD3" s="298"/>
      <c r="CE3" s="298"/>
      <c r="CF3" s="299"/>
    </row>
    <row r="4" spans="2:84" ht="15.1" customHeight="1" thickBot="1" x14ac:dyDescent="0.3">
      <c r="B4" s="26"/>
      <c r="E4" s="250"/>
      <c r="F4" s="221"/>
      <c r="G4" s="221"/>
      <c r="H4" s="27"/>
      <c r="K4" s="300"/>
      <c r="L4" s="301"/>
      <c r="M4" s="301"/>
      <c r="N4" s="301"/>
      <c r="O4" s="301"/>
      <c r="P4" s="301"/>
      <c r="Q4" s="302"/>
      <c r="T4" s="300"/>
      <c r="U4" s="301"/>
      <c r="V4" s="301"/>
      <c r="W4" s="301"/>
      <c r="X4" s="301"/>
      <c r="Y4" s="301"/>
      <c r="Z4" s="302"/>
      <c r="AC4" s="300"/>
      <c r="AD4" s="301"/>
      <c r="AE4" s="301"/>
      <c r="AF4" s="301"/>
      <c r="AG4" s="301"/>
      <c r="AH4" s="301"/>
      <c r="AI4" s="302"/>
      <c r="AL4" s="300"/>
      <c r="AM4" s="301"/>
      <c r="AN4" s="301"/>
      <c r="AO4" s="301"/>
      <c r="AP4" s="301"/>
      <c r="AQ4" s="301"/>
      <c r="AR4" s="301"/>
      <c r="AS4" s="301"/>
      <c r="AT4" s="302"/>
      <c r="AW4" s="300"/>
      <c r="AX4" s="301"/>
      <c r="AY4" s="301"/>
      <c r="AZ4" s="301"/>
      <c r="BA4" s="301"/>
      <c r="BB4" s="301"/>
      <c r="BC4" s="302"/>
      <c r="BF4" s="300"/>
      <c r="BG4" s="301"/>
      <c r="BH4" s="301"/>
      <c r="BI4" s="301"/>
      <c r="BJ4" s="301"/>
      <c r="BK4" s="301"/>
      <c r="BL4" s="302"/>
      <c r="BO4" s="300"/>
      <c r="BP4" s="301"/>
      <c r="BQ4" s="301"/>
      <c r="BR4" s="301"/>
      <c r="BS4" s="301"/>
      <c r="BT4" s="301"/>
      <c r="BU4" s="301"/>
      <c r="BV4" s="302"/>
      <c r="BY4" s="300"/>
      <c r="BZ4" s="301"/>
      <c r="CA4" s="301"/>
      <c r="CB4" s="301"/>
      <c r="CC4" s="301"/>
      <c r="CD4" s="301"/>
      <c r="CE4" s="301"/>
      <c r="CF4" s="302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33" t="s">
        <v>66</v>
      </c>
      <c r="F6" s="333"/>
      <c r="G6" s="333"/>
      <c r="H6" s="27"/>
      <c r="K6" s="1" t="s">
        <v>68</v>
      </c>
      <c r="M6" s="3" t="str">
        <f>IF(ISBLANK('Données à saisir'!$B7),"",('Données à saisir'!$B7))</f>
        <v>Institut de beauté</v>
      </c>
      <c r="T6" s="1" t="s">
        <v>68</v>
      </c>
      <c r="V6" s="3" t="str">
        <f>IF(ISBLANK('Données à saisir'!$B7),"",('Données à saisir'!$B7))</f>
        <v>Institut de beauté</v>
      </c>
      <c r="AC6" s="1" t="s">
        <v>68</v>
      </c>
      <c r="AE6" s="3" t="str">
        <f>IF(ISBLANK('Données à saisir'!$B7),"",('Données à saisir'!$B7))</f>
        <v>Institut de beauté</v>
      </c>
      <c r="AL6" s="1" t="s">
        <v>68</v>
      </c>
      <c r="AN6" s="3" t="str">
        <f>IF(ISBLANK('Données à saisir'!$B7),"",('Données à saisir'!$B7))</f>
        <v>Institut de beauté</v>
      </c>
      <c r="AW6" s="1" t="s">
        <v>68</v>
      </c>
      <c r="AY6" s="3" t="str">
        <f>IF(ISBLANK('Données à saisir'!$B7),"",('Données à saisir'!$B7))</f>
        <v>Institut de beauté</v>
      </c>
      <c r="BF6" s="1" t="s">
        <v>68</v>
      </c>
      <c r="BH6" s="3" t="str">
        <f>IF(ISBLANK('Données à saisir'!$B7),"",('Données à saisir'!$B7))</f>
        <v>Institut de beauté</v>
      </c>
      <c r="BO6" s="1" t="s">
        <v>68</v>
      </c>
      <c r="BQ6" s="3" t="str">
        <f>IF(ISBLANK('Données à saisir'!$B7),"",('Données à saisir'!$B7))</f>
        <v>Institut de beauté</v>
      </c>
      <c r="BV6" s="193" t="s">
        <v>214</v>
      </c>
      <c r="BY6" s="1" t="s">
        <v>68</v>
      </c>
      <c r="CA6" s="3" t="str">
        <f>IF(ISBLANK('Données à saisir'!$B7),"",('Données à saisir'!$B7))</f>
        <v>Institut de beauté</v>
      </c>
      <c r="CF6" s="193" t="s">
        <v>214</v>
      </c>
    </row>
    <row r="7" spans="2:84" ht="15.1" customHeight="1" x14ac:dyDescent="0.25">
      <c r="B7" s="26"/>
      <c r="E7" s="333"/>
      <c r="F7" s="333"/>
      <c r="G7" s="333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269</v>
      </c>
      <c r="T8" s="1"/>
      <c r="AG8" s="315" t="s">
        <v>41</v>
      </c>
      <c r="AH8" s="305" t="s">
        <v>42</v>
      </c>
      <c r="AI8" s="317" t="s">
        <v>43</v>
      </c>
    </row>
    <row r="9" spans="2:84" ht="15.1" customHeight="1" thickTop="1" x14ac:dyDescent="0.25">
      <c r="K9" s="327" t="s">
        <v>134</v>
      </c>
      <c r="L9" s="328"/>
      <c r="M9" s="328"/>
      <c r="N9" s="328"/>
      <c r="O9" s="328"/>
      <c r="P9" s="328"/>
      <c r="Q9" s="325" t="s">
        <v>74</v>
      </c>
      <c r="U9" s="1" t="s">
        <v>139</v>
      </c>
      <c r="X9" t="str">
        <f>C33</f>
        <v>SASU (IS)</v>
      </c>
      <c r="AC9" s="50"/>
      <c r="AG9" s="316"/>
      <c r="AH9" s="306"/>
      <c r="AI9" s="324"/>
      <c r="BA9" s="303" t="s">
        <v>41</v>
      </c>
      <c r="BB9" s="305" t="s">
        <v>42</v>
      </c>
      <c r="BC9" s="307" t="s">
        <v>43</v>
      </c>
    </row>
    <row r="10" spans="2:84" ht="15.1" customHeight="1" x14ac:dyDescent="0.25">
      <c r="K10" s="330"/>
      <c r="L10" s="331"/>
      <c r="M10" s="331"/>
      <c r="N10" s="331"/>
      <c r="O10" s="331"/>
      <c r="P10" s="331"/>
      <c r="Q10" s="326"/>
      <c r="U10" s="1" t="s">
        <v>265</v>
      </c>
      <c r="X10" t="str">
        <f>IF(ISBLANK('Données à saisir'!C136),"",'Données à saisir'!C136)</f>
        <v>Oui</v>
      </c>
      <c r="AC10" s="51" t="s">
        <v>123</v>
      </c>
      <c r="AD10" s="52"/>
      <c r="AE10" s="52"/>
      <c r="AF10" s="52"/>
      <c r="AG10" s="60">
        <f>SUM(AG11:AG12)</f>
        <v>96670</v>
      </c>
      <c r="AH10" s="60">
        <f t="shared" ref="AH10:AI10" si="0">SUM(AH11:AH12)</f>
        <v>111170.5</v>
      </c>
      <c r="AI10" s="226">
        <f t="shared" si="0"/>
        <v>122287.54999999999</v>
      </c>
      <c r="AW10" s="50"/>
      <c r="BA10" s="304"/>
      <c r="BB10" s="306"/>
      <c r="BC10" s="308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145</v>
      </c>
      <c r="X11" t="str">
        <f>IF(X9="sas (is)","Assimilé-salarié",IF(X9="sasu (is)","Assimilé-salarié","Travailleur non salarié"))</f>
        <v>Assimilé-salarié</v>
      </c>
      <c r="AC11" s="44" t="s">
        <v>121</v>
      </c>
      <c r="AG11" s="62">
        <f>'Données à saisir'!D115</f>
        <v>16010</v>
      </c>
      <c r="AH11" s="62">
        <f>AG11+AG11*'Données à saisir'!D117</f>
        <v>18411.5</v>
      </c>
      <c r="AI11" s="54">
        <f>AH11+AH11*'Données à saisir'!D118</f>
        <v>20252.650000000001</v>
      </c>
      <c r="AO11" s="315" t="s">
        <v>41</v>
      </c>
      <c r="AP11" s="305" t="s">
        <v>164</v>
      </c>
      <c r="AQ11" s="305" t="s">
        <v>42</v>
      </c>
      <c r="AR11" s="305" t="s">
        <v>164</v>
      </c>
      <c r="AS11" s="305" t="s">
        <v>43</v>
      </c>
      <c r="AT11" s="317" t="s">
        <v>164</v>
      </c>
      <c r="AW11" s="51" t="s">
        <v>192</v>
      </c>
      <c r="AX11" s="52"/>
      <c r="AY11" s="52"/>
      <c r="AZ11" s="52"/>
      <c r="BA11" s="60">
        <f>AG10</f>
        <v>96670</v>
      </c>
      <c r="BB11" s="60">
        <f>AH10</f>
        <v>111170.5</v>
      </c>
      <c r="BC11" s="226">
        <f>AI10</f>
        <v>122287.54999999999</v>
      </c>
      <c r="BO11" s="214" t="s">
        <v>239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88300</v>
      </c>
      <c r="AC12" s="44" t="s">
        <v>122</v>
      </c>
      <c r="AG12" s="62">
        <f>'Données à saisir'!I115</f>
        <v>80660</v>
      </c>
      <c r="AH12" s="62">
        <f>AG12+AG12*'Données à saisir'!I117</f>
        <v>92759</v>
      </c>
      <c r="AI12" s="54">
        <f>AH12+AH12*'Données à saisir'!I118</f>
        <v>102034.9</v>
      </c>
      <c r="AL12" s="50"/>
      <c r="AO12" s="319"/>
      <c r="AP12" s="306"/>
      <c r="AQ12" s="320"/>
      <c r="AR12" s="306"/>
      <c r="AS12" s="320"/>
      <c r="AT12" s="318"/>
      <c r="AW12" s="123" t="s">
        <v>80</v>
      </c>
      <c r="BA12" s="104">
        <f>AO15</f>
        <v>7204.5</v>
      </c>
      <c r="BB12" s="104">
        <f>AQ15</f>
        <v>8285.1750000000011</v>
      </c>
      <c r="BC12" s="120">
        <f>AS15</f>
        <v>9113.692500000001</v>
      </c>
      <c r="BJ12" s="303" t="s">
        <v>41</v>
      </c>
      <c r="BK12" s="305" t="s">
        <v>42</v>
      </c>
      <c r="BL12" s="307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124</v>
      </c>
      <c r="AG13" s="57">
        <f>AG14</f>
        <v>7204.5</v>
      </c>
      <c r="AH13" s="57">
        <f>AH14</f>
        <v>8285.1750000000011</v>
      </c>
      <c r="AI13" s="53">
        <f>AI14</f>
        <v>9113.692500000001</v>
      </c>
      <c r="AL13" s="107" t="s">
        <v>151</v>
      </c>
      <c r="AM13" s="34"/>
      <c r="AN13" s="34"/>
      <c r="AO13" s="119">
        <f>AG10</f>
        <v>96670</v>
      </c>
      <c r="AP13" s="139">
        <v>1</v>
      </c>
      <c r="AQ13" s="119">
        <f>AH10</f>
        <v>111170.5</v>
      </c>
      <c r="AR13" s="140">
        <v>1</v>
      </c>
      <c r="AS13" s="119">
        <f>AI10</f>
        <v>122287.54999999999</v>
      </c>
      <c r="AT13" s="141">
        <v>1</v>
      </c>
      <c r="AW13" s="123" t="s">
        <v>175</v>
      </c>
      <c r="BA13" s="104">
        <f>BA12</f>
        <v>7204.5</v>
      </c>
      <c r="BB13" s="104">
        <f t="shared" ref="BB13:BC13" si="1">BB12</f>
        <v>8285.1750000000011</v>
      </c>
      <c r="BC13" s="120">
        <f t="shared" si="1"/>
        <v>9113.692500000001</v>
      </c>
      <c r="BF13" s="50"/>
      <c r="BJ13" s="304"/>
      <c r="BK13" s="306"/>
      <c r="BL13" s="308"/>
      <c r="BR13" s="303" t="s">
        <v>208</v>
      </c>
      <c r="BS13" s="305" t="s">
        <v>209</v>
      </c>
      <c r="BT13" s="305" t="s">
        <v>210</v>
      </c>
      <c r="BU13" s="305" t="s">
        <v>215</v>
      </c>
      <c r="BV13" s="307" t="s">
        <v>217</v>
      </c>
      <c r="BY13" s="303" t="s">
        <v>218</v>
      </c>
      <c r="BZ13" s="305" t="s">
        <v>219</v>
      </c>
      <c r="CA13" s="305" t="s">
        <v>220</v>
      </c>
      <c r="CB13" s="305" t="s">
        <v>221</v>
      </c>
      <c r="CC13" s="305" t="s">
        <v>222</v>
      </c>
      <c r="CD13" s="305" t="s">
        <v>223</v>
      </c>
      <c r="CE13" s="309" t="s">
        <v>224</v>
      </c>
      <c r="CF13" s="311" t="s">
        <v>48</v>
      </c>
    </row>
    <row r="14" spans="2:84" ht="15.1" customHeight="1" x14ac:dyDescent="0.25">
      <c r="B14" s="321" t="s">
        <v>247</v>
      </c>
      <c r="C14" s="322"/>
      <c r="D14" s="322"/>
      <c r="E14" s="322"/>
      <c r="F14" s="322"/>
      <c r="G14" s="322"/>
      <c r="H14" s="323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7204.5</v>
      </c>
      <c r="AH14" s="62">
        <f>'Données à saisir'!$D$123*'Plan financier à imprimer'!AH11</f>
        <v>8285.1750000000011</v>
      </c>
      <c r="AI14" s="54">
        <f>'Données à saisir'!$D$123*'Plan financier à imprimer'!AI11</f>
        <v>9113.692500000001</v>
      </c>
      <c r="AL14" s="38" t="s">
        <v>152</v>
      </c>
      <c r="AO14" s="104">
        <f>AG10</f>
        <v>96670</v>
      </c>
      <c r="AP14" s="142">
        <v>1</v>
      </c>
      <c r="AQ14" s="104">
        <f>AH10</f>
        <v>111170.5</v>
      </c>
      <c r="AR14" s="143">
        <v>1</v>
      </c>
      <c r="AS14" s="104">
        <f>AI10</f>
        <v>122287.54999999999</v>
      </c>
      <c r="AT14" s="144">
        <v>1</v>
      </c>
      <c r="AW14" s="123" t="s">
        <v>176</v>
      </c>
      <c r="BA14" s="57">
        <f>BA11-BA13</f>
        <v>89465.5</v>
      </c>
      <c r="BB14" s="57">
        <f t="shared" ref="BB14:BC14" si="2">BB11-BB13</f>
        <v>102885.325</v>
      </c>
      <c r="BC14" s="53">
        <f t="shared" si="2"/>
        <v>113173.85749999998</v>
      </c>
      <c r="BF14" s="186" t="s">
        <v>199</v>
      </c>
      <c r="BG14" s="52"/>
      <c r="BH14" s="52"/>
      <c r="BI14" s="52"/>
      <c r="BJ14" s="187">
        <f>Q12+Q23</f>
        <v>98300</v>
      </c>
      <c r="BK14" s="60"/>
      <c r="BL14" s="61"/>
      <c r="BO14" s="50"/>
      <c r="BR14" s="304"/>
      <c r="BS14" s="306"/>
      <c r="BT14" s="306"/>
      <c r="BU14" s="306"/>
      <c r="BV14" s="308"/>
      <c r="BY14" s="304"/>
      <c r="BZ14" s="306"/>
      <c r="CA14" s="306"/>
      <c r="CB14" s="306"/>
      <c r="CC14" s="306"/>
      <c r="CD14" s="306"/>
      <c r="CE14" s="310"/>
      <c r="CF14" s="312"/>
    </row>
    <row r="15" spans="2:84" ht="15.1" customHeight="1" x14ac:dyDescent="0.25">
      <c r="B15" s="321"/>
      <c r="C15" s="322"/>
      <c r="D15" s="322"/>
      <c r="E15" s="322"/>
      <c r="F15" s="322"/>
      <c r="G15" s="322"/>
      <c r="H15" s="323"/>
      <c r="K15" s="44" t="str">
        <f>'Données à saisir'!A19</f>
        <v>Logiciels, formations</v>
      </c>
      <c r="Q15" s="42">
        <f>IF(ISBLANK('Données à saisir'!B19),"",'Données à saisir'!B19)</f>
        <v>800</v>
      </c>
      <c r="T15" s="51" t="s">
        <v>143</v>
      </c>
      <c r="U15" s="52"/>
      <c r="V15" s="52"/>
      <c r="W15" s="52"/>
      <c r="X15" s="60">
        <f>'Données à saisir'!B134</f>
        <v>15000</v>
      </c>
      <c r="Y15" s="60">
        <f>'Données à saisir'!C134</f>
        <v>22000</v>
      </c>
      <c r="Z15" s="61">
        <f>'Données à saisir'!D134</f>
        <v>25000</v>
      </c>
      <c r="AC15" s="67"/>
      <c r="AG15" s="62"/>
      <c r="AH15" s="62"/>
      <c r="AI15" s="69"/>
      <c r="AL15" s="70" t="s">
        <v>80</v>
      </c>
      <c r="AO15" s="104">
        <f>AG14</f>
        <v>7204.5</v>
      </c>
      <c r="AP15" s="145">
        <f>AO15/$AO$14</f>
        <v>7.4526740457225613E-2</v>
      </c>
      <c r="AQ15" s="104">
        <f>AH14</f>
        <v>8285.1750000000011</v>
      </c>
      <c r="AR15" s="145">
        <f>AQ15/$AQ$14</f>
        <v>7.4526740457225626E-2</v>
      </c>
      <c r="AS15" s="104">
        <f>AI14</f>
        <v>9113.692500000001</v>
      </c>
      <c r="AT15" s="146">
        <f>AS15/$AS$14</f>
        <v>7.4526740457225626E-2</v>
      </c>
      <c r="AW15" s="63" t="s">
        <v>193</v>
      </c>
      <c r="AX15" s="64"/>
      <c r="AY15" s="64"/>
      <c r="AZ15" s="64"/>
      <c r="BA15" s="154">
        <f>IF(ISERROR(BA14/BA11),0,BA14/BA11)</f>
        <v>0.92547325954277437</v>
      </c>
      <c r="BB15" s="154">
        <f t="shared" ref="BB15:BC15" si="3">IF(ISERROR(BB14/BB11),0,BB14/BB11)</f>
        <v>0.92547325954277437</v>
      </c>
      <c r="BC15" s="158">
        <f t="shared" si="3"/>
        <v>0.92547325954277437</v>
      </c>
      <c r="BF15" s="123" t="s">
        <v>264</v>
      </c>
      <c r="BJ15" s="104">
        <f>Q30</f>
        <v>4000</v>
      </c>
      <c r="BK15" s="104"/>
      <c r="BL15" s="120"/>
      <c r="BO15" s="192" t="s">
        <v>200</v>
      </c>
      <c r="BP15" s="52"/>
      <c r="BQ15" s="52"/>
      <c r="BR15" s="187">
        <f>BJ19</f>
        <v>54300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54300</v>
      </c>
    </row>
    <row r="16" spans="2:84" ht="15.1" customHeight="1" x14ac:dyDescent="0.25">
      <c r="B16" s="321"/>
      <c r="C16" s="322"/>
      <c r="D16" s="322"/>
      <c r="E16" s="322"/>
      <c r="F16" s="322"/>
      <c r="G16" s="322"/>
      <c r="H16" s="323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140</v>
      </c>
      <c r="X16" s="62"/>
      <c r="Y16" s="102">
        <f>IF(ISERROR((Y15-X15)/X15),"",(Y15-X15)/X15)</f>
        <v>0.46666666666666667</v>
      </c>
      <c r="Z16" s="103">
        <f>IF(ISERROR((Z15-Y15)/Y15),"",(Z15-Y15)/Y15)</f>
        <v>0.13636363636363635</v>
      </c>
      <c r="AC16" s="63" t="s">
        <v>125</v>
      </c>
      <c r="AD16" s="64"/>
      <c r="AE16" s="64"/>
      <c r="AF16" s="64"/>
      <c r="AG16" s="65">
        <f>AG10-AG13</f>
        <v>89465.5</v>
      </c>
      <c r="AH16" s="65">
        <f>AH10-AH13</f>
        <v>102885.325</v>
      </c>
      <c r="AI16" s="66">
        <f>AI10-AI13</f>
        <v>113173.85749999998</v>
      </c>
      <c r="AL16" s="63" t="s">
        <v>154</v>
      </c>
      <c r="AM16" s="64"/>
      <c r="AN16" s="64"/>
      <c r="AO16" s="65">
        <f>AO14-AO15</f>
        <v>89465.5</v>
      </c>
      <c r="AP16" s="147">
        <f t="shared" ref="AP16:AP28" si="5">AO16/$AO$14</f>
        <v>0.92547325954277437</v>
      </c>
      <c r="AQ16" s="65">
        <f t="shared" ref="AQ16:AS16" si="6">AQ14-AQ15</f>
        <v>102885.325</v>
      </c>
      <c r="AR16" s="148">
        <f t="shared" ref="AR16:AR28" si="7">AQ16/$AQ$14</f>
        <v>0.92547325954277437</v>
      </c>
      <c r="AS16" s="65">
        <f t="shared" si="6"/>
        <v>113173.85749999998</v>
      </c>
      <c r="AT16" s="150">
        <f t="shared" ref="AT16:AT28" si="8">AS16/$AS$14</f>
        <v>0.92547325954277437</v>
      </c>
      <c r="AW16" s="123" t="s">
        <v>177</v>
      </c>
      <c r="BA16" s="104">
        <f>SUM(AO17,AO19,AO20,AO22,AO24)</f>
        <v>66598.527812276719</v>
      </c>
      <c r="BB16" s="104">
        <f>SUM(AQ17,AQ19,AQ20,AQ22,AQ24)</f>
        <v>86646.527812276719</v>
      </c>
      <c r="BC16" s="159">
        <f>SUM(AS17,AS19,AS20,AS22,AS24)</f>
        <v>93462.527812276719</v>
      </c>
      <c r="BF16" s="123" t="s">
        <v>197</v>
      </c>
      <c r="BJ16" s="104">
        <f>BA39</f>
        <v>-592.15068493150682</v>
      </c>
      <c r="BK16" s="104">
        <f>BB39-BA39</f>
        <v>-88.822602739726221</v>
      </c>
      <c r="BL16" s="120">
        <f>+BC39-BB39</f>
        <v>-68.097328767123258</v>
      </c>
      <c r="BO16" s="123" t="s">
        <v>201</v>
      </c>
      <c r="BR16" s="104">
        <f>BJ20</f>
        <v>52000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52000</v>
      </c>
    </row>
    <row r="17" spans="2:84" ht="15.1" customHeight="1" x14ac:dyDescent="0.25">
      <c r="B17" s="321"/>
      <c r="C17" s="322"/>
      <c r="D17" s="322"/>
      <c r="E17" s="322"/>
      <c r="F17" s="322"/>
      <c r="G17" s="322"/>
      <c r="H17" s="323"/>
      <c r="K17" s="44" t="str">
        <f>'Données à saisir'!A21</f>
        <v>Droits d’entrée</v>
      </c>
      <c r="Q17" s="42" t="str">
        <f>IF(ISBLANK('Données à saisir'!B21),"",'Données à saisir'!B21)</f>
        <v/>
      </c>
      <c r="T17" s="37" t="s">
        <v>144</v>
      </c>
      <c r="X17" s="57">
        <f>AG40</f>
        <v>4950</v>
      </c>
      <c r="Y17" s="57">
        <f>AH40</f>
        <v>15399.999999999998</v>
      </c>
      <c r="Z17" s="53">
        <f>AI40</f>
        <v>17500</v>
      </c>
      <c r="AC17" s="37" t="s">
        <v>126</v>
      </c>
      <c r="AG17" s="57">
        <f>SUM(AG18:AG33)</f>
        <v>28990</v>
      </c>
      <c r="AH17" s="57">
        <f>SUM(AH18:AH33)</f>
        <v>30466</v>
      </c>
      <c r="AI17" s="68">
        <f>SUM(AI18:AI33)</f>
        <v>31920</v>
      </c>
      <c r="AL17" s="70" t="s">
        <v>81</v>
      </c>
      <c r="AO17" s="104">
        <f>AG17</f>
        <v>28990</v>
      </c>
      <c r="AP17" s="145">
        <f t="shared" si="5"/>
        <v>0.29988621082031652</v>
      </c>
      <c r="AQ17" s="104">
        <f>AH17</f>
        <v>30466</v>
      </c>
      <c r="AR17" s="149">
        <f t="shared" si="7"/>
        <v>0.27404752159970497</v>
      </c>
      <c r="AS17" s="104">
        <f>AI17</f>
        <v>31920</v>
      </c>
      <c r="AT17" s="146">
        <f t="shared" si="8"/>
        <v>0.2610241189720458</v>
      </c>
      <c r="AW17" s="63" t="s">
        <v>194</v>
      </c>
      <c r="AX17" s="64"/>
      <c r="AY17" s="64"/>
      <c r="AZ17" s="64"/>
      <c r="BA17" s="65">
        <f>BA12+BA16</f>
        <v>73803.027812276719</v>
      </c>
      <c r="BB17" s="65">
        <f t="shared" ref="BB17:BC17" si="9">BB12+BB16</f>
        <v>94931.702812276722</v>
      </c>
      <c r="BC17" s="66">
        <f t="shared" si="9"/>
        <v>102576.22031227672</v>
      </c>
      <c r="BF17" s="123" t="s">
        <v>198</v>
      </c>
      <c r="BJ17" s="104">
        <f>AO45</f>
        <v>7428.5714285714284</v>
      </c>
      <c r="BK17" s="104">
        <f>AQ45</f>
        <v>7428.5714285714284</v>
      </c>
      <c r="BL17" s="120">
        <f>AS45</f>
        <v>7428.5714285714284</v>
      </c>
      <c r="BO17" s="123" t="s">
        <v>202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321"/>
      <c r="C18" s="322"/>
      <c r="D18" s="322"/>
      <c r="E18" s="322"/>
      <c r="F18" s="322"/>
      <c r="G18" s="322"/>
      <c r="H18" s="323"/>
      <c r="K18" s="44" t="str">
        <f>'Données à saisir'!A22</f>
        <v>Achat fonds de commerce ou parts</v>
      </c>
      <c r="Q18" s="42">
        <f>IF(ISBLANK('Données à saisir'!B22),"",'Données à saisir'!B22)</f>
        <v>85000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500</v>
      </c>
      <c r="AH18" s="62">
        <f>IF(ISBLANK('Données à saisir'!C77),0,'Données à saisir'!C77)</f>
        <v>550</v>
      </c>
      <c r="AI18" s="54">
        <f>IF(ISBLANK('Données à saisir'!D77),0,'Données à saisir'!D77)</f>
        <v>600</v>
      </c>
      <c r="AL18" s="63" t="s">
        <v>127</v>
      </c>
      <c r="AM18" s="64"/>
      <c r="AN18" s="64"/>
      <c r="AO18" s="65">
        <f>AO16-AO17</f>
        <v>60475.5</v>
      </c>
      <c r="AP18" s="147">
        <f t="shared" si="5"/>
        <v>0.62558704872245785</v>
      </c>
      <c r="AQ18" s="65">
        <f t="shared" ref="AQ18:AS18" si="10">AQ16-AQ17</f>
        <v>72419.324999999997</v>
      </c>
      <c r="AR18" s="148">
        <f t="shared" si="7"/>
        <v>0.65142573794306935</v>
      </c>
      <c r="AS18" s="65">
        <f t="shared" si="10"/>
        <v>81253.857499999984</v>
      </c>
      <c r="AT18" s="150">
        <f t="shared" si="8"/>
        <v>0.66444914057072846</v>
      </c>
      <c r="AW18" s="123" t="s">
        <v>178</v>
      </c>
      <c r="BA18" s="104">
        <f>AG44</f>
        <v>22866.972187723281</v>
      </c>
      <c r="BB18" s="104">
        <f>AH44</f>
        <v>16238.797187723278</v>
      </c>
      <c r="BC18" s="159">
        <f>AI44</f>
        <v>19711.329687723264</v>
      </c>
      <c r="BF18" s="63" t="s">
        <v>196</v>
      </c>
      <c r="BG18" s="64"/>
      <c r="BH18" s="64"/>
      <c r="BI18" s="64"/>
      <c r="BJ18" s="188">
        <f>SUM(BJ14:BJ17)</f>
        <v>109136.42074363993</v>
      </c>
      <c r="BK18" s="189">
        <f>SUM(BK14:BK17)</f>
        <v>7339.7488258317026</v>
      </c>
      <c r="BL18" s="190">
        <f>SUM(BL14:BL17)</f>
        <v>7360.4740998043053</v>
      </c>
      <c r="BO18" s="123" t="s">
        <v>203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321"/>
      <c r="C19" s="322"/>
      <c r="D19" s="322"/>
      <c r="E19" s="322"/>
      <c r="F19" s="322"/>
      <c r="G19" s="322"/>
      <c r="H19" s="323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141</v>
      </c>
      <c r="U19" s="52"/>
      <c r="V19" s="52"/>
      <c r="W19" s="52"/>
      <c r="X19" s="60">
        <f>'Données à saisir'!B133</f>
        <v>8100</v>
      </c>
      <c r="Y19" s="60">
        <f>'Données à saisir'!C133</f>
        <v>8200</v>
      </c>
      <c r="Z19" s="61">
        <f>'Données à saisir'!D133</f>
        <v>8300</v>
      </c>
      <c r="AC19" s="44" t="str">
        <f>'Données à saisir'!A78</f>
        <v>Téléphone, internet</v>
      </c>
      <c r="AG19" s="62">
        <f>IF(ISBLANK('Données à saisir'!B78),0,'Données à saisir'!B78)</f>
        <v>600</v>
      </c>
      <c r="AH19" s="62">
        <f>IF(ISBLANK('Données à saisir'!C78),0,'Données à saisir'!C78)</f>
        <v>650</v>
      </c>
      <c r="AI19" s="54">
        <f>IF(ISBLANK('Données à saisir'!D78),0,'Données à saisir'!D78)</f>
        <v>700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900</v>
      </c>
      <c r="AR19" s="149">
        <f t="shared" si="7"/>
        <v>8.0956728628548049E-3</v>
      </c>
      <c r="AS19" s="104">
        <f>AI36</f>
        <v>940</v>
      </c>
      <c r="AT19" s="146">
        <f t="shared" si="8"/>
        <v>7.6868004960439565E-3</v>
      </c>
      <c r="AW19" s="63" t="s">
        <v>195</v>
      </c>
      <c r="AX19" s="64"/>
      <c r="AY19" s="64"/>
      <c r="AZ19" s="64"/>
      <c r="BA19" s="65">
        <f>IF(ISERROR(BA16/BA15),0,BA16/BA15)</f>
        <v>71961.590597635848</v>
      </c>
      <c r="BB19" s="65">
        <f t="shared" ref="BB19:BC19" si="11">IF(ISERROR(BB16/BB15),0,BB16/BB15)</f>
        <v>93624.020919938863</v>
      </c>
      <c r="BC19" s="66">
        <f t="shared" si="11"/>
        <v>100988.90146048243</v>
      </c>
      <c r="BF19" s="123" t="s">
        <v>200</v>
      </c>
      <c r="BJ19" s="104">
        <f>Q37</f>
        <v>54300</v>
      </c>
      <c r="BK19" s="104"/>
      <c r="BL19" s="159"/>
      <c r="BO19" s="192" t="s">
        <v>211</v>
      </c>
      <c r="BP19" s="34"/>
      <c r="BQ19" s="34"/>
      <c r="BR19" s="119">
        <f>'Données à saisir'!D103</f>
        <v>660</v>
      </c>
      <c r="BS19" s="119">
        <f>'Données à saisir'!D104</f>
        <v>880</v>
      </c>
      <c r="BT19" s="119">
        <f>'Données à saisir'!D105</f>
        <v>880</v>
      </c>
      <c r="BU19" s="119">
        <f>'Données à saisir'!D106</f>
        <v>1000</v>
      </c>
      <c r="BV19" s="209">
        <f>'Données à saisir'!D107</f>
        <v>1320</v>
      </c>
      <c r="BY19" s="210">
        <f>'Données à saisir'!D108</f>
        <v>1760</v>
      </c>
      <c r="BZ19" s="119">
        <f>'Données à saisir'!D109</f>
        <v>1760</v>
      </c>
      <c r="CA19" s="119">
        <f>'Données à saisir'!D110</f>
        <v>1200</v>
      </c>
      <c r="CB19" s="119">
        <f>'Données à saisir'!D111</f>
        <v>1540</v>
      </c>
      <c r="CC19" s="119">
        <f>'Données à saisir'!D112</f>
        <v>1050</v>
      </c>
      <c r="CD19" s="119">
        <f>'Données à saisir'!D113</f>
        <v>1760</v>
      </c>
      <c r="CE19" s="211">
        <f>'Données à saisir'!D114</f>
        <v>2200</v>
      </c>
      <c r="CF19" s="213">
        <f>SUM(BR19:CE19)</f>
        <v>16010</v>
      </c>
    </row>
    <row r="20" spans="2:84" ht="15.1" customHeight="1" x14ac:dyDescent="0.25">
      <c r="B20" s="321"/>
      <c r="C20" s="322"/>
      <c r="D20" s="322"/>
      <c r="E20" s="322"/>
      <c r="F20" s="322"/>
      <c r="G20" s="322"/>
      <c r="H20" s="323"/>
      <c r="K20" s="44" t="str">
        <f>'Données à saisir'!A24</f>
        <v>Caution ou dépôt de garantie</v>
      </c>
      <c r="Q20" s="42">
        <f>IF(ISBLANK('Données à saisir'!B24),"",'Données à saisir'!B24)</f>
        <v>1000</v>
      </c>
      <c r="T20" s="44"/>
      <c r="U20" s="3" t="s">
        <v>140</v>
      </c>
      <c r="X20" s="62"/>
      <c r="Y20" s="102">
        <f>IF(ISERROR((Y19-X19)/X19),"",(Y19-X19)/X19)</f>
        <v>1.2345679012345678E-2</v>
      </c>
      <c r="Z20" s="103">
        <f>IF(ISERROR((Z19-Y19)/Y19),"",(Z19-Y19)/Y19)</f>
        <v>1.2195121951219513E-2</v>
      </c>
      <c r="AC20" s="44" t="str">
        <f>'Données à saisir'!A79</f>
        <v>Autres abonnements</v>
      </c>
      <c r="AG20" s="62">
        <f>IF(ISBLANK('Données à saisir'!B79),0,'Données à saisir'!B79)</f>
        <v>60</v>
      </c>
      <c r="AH20" s="62">
        <f>IF(ISBLANK('Données à saisir'!C79),0,'Données à saisir'!C79)</f>
        <v>66</v>
      </c>
      <c r="AI20" s="54">
        <f>IF(ISBLANK('Données à saisir'!D79),0,'Données à saisir'!D79)</f>
        <v>70</v>
      </c>
      <c r="AL20" s="38" t="s">
        <v>153</v>
      </c>
      <c r="AM20" s="1"/>
      <c r="AN20" s="1"/>
      <c r="AO20" s="104">
        <f>SUM(AG37:AG40)</f>
        <v>33882</v>
      </c>
      <c r="AP20" s="145">
        <f t="shared" si="5"/>
        <v>0.35049136236681494</v>
      </c>
      <c r="AQ20" s="104">
        <f>SUM(AH37:AH40)</f>
        <v>51504</v>
      </c>
      <c r="AR20" s="149">
        <f t="shared" si="7"/>
        <v>0.46328837236497095</v>
      </c>
      <c r="AS20" s="104">
        <f>SUM(AI37:AI40)</f>
        <v>56776</v>
      </c>
      <c r="AT20" s="146">
        <f t="shared" si="8"/>
        <v>0.46428274996105495</v>
      </c>
      <c r="AW20" s="123" t="s">
        <v>179</v>
      </c>
      <c r="BA20" s="104">
        <f>BA11-BA19</f>
        <v>24708.409402364152</v>
      </c>
      <c r="BB20" s="104">
        <f t="shared" ref="BB20:BC20" si="12">BB11-BB19</f>
        <v>17546.479080061137</v>
      </c>
      <c r="BC20" s="120">
        <f t="shared" si="12"/>
        <v>21298.648539517555</v>
      </c>
      <c r="BF20" s="123" t="s">
        <v>201</v>
      </c>
      <c r="BJ20" s="104">
        <f>Q40</f>
        <v>52000</v>
      </c>
      <c r="BK20" s="104"/>
      <c r="BL20" s="159"/>
      <c r="BO20" s="123" t="s">
        <v>212</v>
      </c>
      <c r="BR20" s="104">
        <f>'Données à saisir'!I103</f>
        <v>4400</v>
      </c>
      <c r="BS20" s="104">
        <f>'Données à saisir'!I104</f>
        <v>4840</v>
      </c>
      <c r="BT20" s="104">
        <f>'Données à saisir'!I105</f>
        <v>5280</v>
      </c>
      <c r="BU20" s="104">
        <f>'Données à saisir'!I106</f>
        <v>6000</v>
      </c>
      <c r="BV20" s="159">
        <f>'Données à saisir'!I107</f>
        <v>7700</v>
      </c>
      <c r="BY20" s="196">
        <f>'Données à saisir'!I108</f>
        <v>8360</v>
      </c>
      <c r="BZ20" s="104">
        <f>'Données à saisir'!I109</f>
        <v>8360</v>
      </c>
      <c r="CA20" s="104">
        <f>'Données à saisir'!I110</f>
        <v>5700</v>
      </c>
      <c r="CB20" s="104">
        <f>'Données à saisir'!I111</f>
        <v>8360</v>
      </c>
      <c r="CC20" s="104">
        <f>'Données à saisir'!I112</f>
        <v>5700</v>
      </c>
      <c r="CD20" s="104">
        <f>'Données à saisir'!I113</f>
        <v>8360</v>
      </c>
      <c r="CE20" s="132">
        <f>'Données à saisir'!I114</f>
        <v>7600</v>
      </c>
      <c r="CF20" s="201">
        <f t="shared" ref="CF20:CF24" si="13">SUM(BR20:CE20)</f>
        <v>80660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400</v>
      </c>
      <c r="T21" s="37" t="s">
        <v>142</v>
      </c>
      <c r="X21" s="57">
        <f>'Données à saisir'!B139</f>
        <v>5832</v>
      </c>
      <c r="Y21" s="57">
        <f>'Données à saisir'!C139</f>
        <v>5904</v>
      </c>
      <c r="Z21" s="53">
        <f>'Données à saisir'!D139</f>
        <v>5976</v>
      </c>
      <c r="AC21" s="44" t="str">
        <f>'Données à saisir'!A80</f>
        <v>Carburant, transports</v>
      </c>
      <c r="AG21" s="62">
        <f>IF(ISBLANK('Données à saisir'!B80),0,'Données à saisir'!B80)</f>
        <v>450</v>
      </c>
      <c r="AH21" s="62">
        <f>IF(ISBLANK('Données à saisir'!C80),0,'Données à saisir'!C80)</f>
        <v>500</v>
      </c>
      <c r="AI21" s="54">
        <f>IF(ISBLANK('Données à saisir'!D80),0,'Données à saisir'!D80)</f>
        <v>600</v>
      </c>
      <c r="AL21" s="63" t="s">
        <v>128</v>
      </c>
      <c r="AM21" s="64"/>
      <c r="AN21" s="64"/>
      <c r="AO21" s="65">
        <f>AO18-AO19-AO20</f>
        <v>26593.5</v>
      </c>
      <c r="AP21" s="147">
        <f t="shared" si="5"/>
        <v>0.27509568635564291</v>
      </c>
      <c r="AQ21" s="65">
        <f t="shared" ref="AQ21:AS21" si="14">AQ18-AQ19-AQ20</f>
        <v>20015.324999999997</v>
      </c>
      <c r="AR21" s="148">
        <f t="shared" si="7"/>
        <v>0.18004169271524367</v>
      </c>
      <c r="AS21" s="65">
        <f t="shared" si="14"/>
        <v>23537.857499999984</v>
      </c>
      <c r="AT21" s="150">
        <f t="shared" si="8"/>
        <v>0.19247959011362961</v>
      </c>
      <c r="AW21" s="208" t="s">
        <v>180</v>
      </c>
      <c r="AX21" s="36"/>
      <c r="AY21" s="36"/>
      <c r="AZ21" s="36"/>
      <c r="BA21" s="156">
        <f>BA19/250</f>
        <v>287.84636239054339</v>
      </c>
      <c r="BB21" s="156">
        <f t="shared" ref="BB21:BC21" si="15">BB19/250</f>
        <v>374.49608367975543</v>
      </c>
      <c r="BC21" s="157">
        <f t="shared" si="15"/>
        <v>403.95560584192975</v>
      </c>
      <c r="BF21" s="123" t="s">
        <v>202</v>
      </c>
      <c r="BJ21" s="104">
        <f>Q44+Q45</f>
        <v>0</v>
      </c>
      <c r="BK21" s="104"/>
      <c r="BL21" s="159"/>
      <c r="BO21" s="63" t="s">
        <v>213</v>
      </c>
      <c r="BP21" s="64"/>
      <c r="BQ21" s="64"/>
      <c r="BR21" s="65">
        <f>SUM(BR19:BR20)</f>
        <v>5060</v>
      </c>
      <c r="BS21" s="65">
        <f t="shared" ref="BS21:BV21" si="16">SUM(BS19:BS20)</f>
        <v>5720</v>
      </c>
      <c r="BT21" s="65">
        <f t="shared" si="16"/>
        <v>6160</v>
      </c>
      <c r="BU21" s="65">
        <f t="shared" si="16"/>
        <v>7000</v>
      </c>
      <c r="BV21" s="66">
        <f t="shared" si="16"/>
        <v>9020</v>
      </c>
      <c r="BY21" s="197">
        <f t="shared" ref="BY21:CE21" si="17">SUM(BY19:BY20)</f>
        <v>10120</v>
      </c>
      <c r="BZ21" s="65">
        <f t="shared" si="17"/>
        <v>10120</v>
      </c>
      <c r="CA21" s="65">
        <f t="shared" si="17"/>
        <v>6900</v>
      </c>
      <c r="CB21" s="65">
        <f t="shared" si="17"/>
        <v>9900</v>
      </c>
      <c r="CC21" s="65">
        <f t="shared" si="17"/>
        <v>6750</v>
      </c>
      <c r="CD21" s="65">
        <f t="shared" si="17"/>
        <v>10120</v>
      </c>
      <c r="CE21" s="131">
        <f t="shared" si="17"/>
        <v>9800</v>
      </c>
      <c r="CF21" s="200">
        <f t="shared" si="13"/>
        <v>96670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600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155</v>
      </c>
      <c r="AO22" s="104">
        <f>AG43</f>
        <v>2460</v>
      </c>
      <c r="AP22" s="145">
        <f t="shared" si="5"/>
        <v>2.5447398365573602E-2</v>
      </c>
      <c r="AQ22" s="104">
        <f>AH43</f>
        <v>2460</v>
      </c>
      <c r="AR22" s="149">
        <f t="shared" si="7"/>
        <v>2.2128172491803131E-2</v>
      </c>
      <c r="AS22" s="104">
        <f>AI43</f>
        <v>2460</v>
      </c>
      <c r="AT22" s="146">
        <f t="shared" si="8"/>
        <v>2.0116520447093757E-2</v>
      </c>
      <c r="BA22" s="90"/>
      <c r="BF22" s="123" t="s">
        <v>203</v>
      </c>
      <c r="BJ22" s="104" t="str">
        <f>Q46</f>
        <v/>
      </c>
      <c r="BK22" s="104"/>
      <c r="BL22" s="159"/>
      <c r="BO22" s="123" t="s">
        <v>73</v>
      </c>
      <c r="BR22" s="104">
        <f>Q12</f>
        <v>88300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88300</v>
      </c>
    </row>
    <row r="23" spans="2:84" ht="15.1" customHeight="1" x14ac:dyDescent="0.25">
      <c r="B23" s="26"/>
      <c r="C23" s="334" t="str">
        <f>IF(ISBLANK('Données à saisir'!B6),"",('Données à saisir'!B6))</f>
        <v/>
      </c>
      <c r="D23" s="334"/>
      <c r="E23" s="334"/>
      <c r="F23" s="334"/>
      <c r="G23" s="334"/>
      <c r="H23" s="27"/>
      <c r="K23" s="38" t="s">
        <v>70</v>
      </c>
      <c r="Q23" s="41">
        <f>SUM(Q24:Q28)</f>
        <v>10000</v>
      </c>
      <c r="AC23" s="44" t="str">
        <f>'Données à saisir'!A82</f>
        <v>Eau, électricité, gaz</v>
      </c>
      <c r="AG23" s="62">
        <f>IF(ISBLANK('Données à saisir'!B82),0,'Données à saisir'!B82)</f>
        <v>3500</v>
      </c>
      <c r="AH23" s="62">
        <f>IF(ISBLANK('Données à saisir'!C82),0,'Données à saisir'!C82)</f>
        <v>3700</v>
      </c>
      <c r="AI23" s="54">
        <f>IF(ISBLANK('Données à saisir'!D82),0,'Données à saisir'!D82)</f>
        <v>4000</v>
      </c>
      <c r="AL23" s="63" t="s">
        <v>156</v>
      </c>
      <c r="AM23" s="64"/>
      <c r="AN23" s="64"/>
      <c r="AO23" s="65">
        <f>AO21-AO22</f>
        <v>24133.5</v>
      </c>
      <c r="AP23" s="147">
        <f t="shared" si="5"/>
        <v>0.2496482879900693</v>
      </c>
      <c r="AQ23" s="65">
        <f t="shared" ref="AQ23:AS23" si="18">AQ21-AQ22</f>
        <v>17555.324999999997</v>
      </c>
      <c r="AR23" s="148">
        <f t="shared" si="7"/>
        <v>0.15791352022344055</v>
      </c>
      <c r="AS23" s="65">
        <f t="shared" si="18"/>
        <v>21077.857499999984</v>
      </c>
      <c r="AT23" s="150">
        <f t="shared" si="8"/>
        <v>0.17236306966653583</v>
      </c>
      <c r="AW23" s="4"/>
      <c r="BA23" s="99"/>
      <c r="BB23" s="99"/>
      <c r="BC23" s="99"/>
      <c r="BF23" s="123" t="s">
        <v>204</v>
      </c>
      <c r="BJ23" s="104">
        <f>AO44</f>
        <v>21896.92635956479</v>
      </c>
      <c r="BK23" s="104">
        <f>AQ44</f>
        <v>16262.977609564787</v>
      </c>
      <c r="BL23" s="159">
        <f>AS44</f>
        <v>19214.630234564775</v>
      </c>
      <c r="BO23" s="123" t="s">
        <v>70</v>
      </c>
      <c r="BR23" s="104">
        <f>Q23</f>
        <v>10000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10000</v>
      </c>
    </row>
    <row r="24" spans="2:84" ht="15.1" customHeight="1" thickBot="1" x14ac:dyDescent="0.3">
      <c r="B24" s="26"/>
      <c r="C24" s="334"/>
      <c r="D24" s="334"/>
      <c r="E24" s="334"/>
      <c r="F24" s="334"/>
      <c r="G24" s="334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1500</v>
      </c>
      <c r="AC24" s="44" t="str">
        <f>'Données à saisir'!A83</f>
        <v>Mutuelle</v>
      </c>
      <c r="AG24" s="62">
        <f>IF(ISBLANK('Données à saisir'!B83),0,'Données à saisir'!B83)</f>
        <v>0</v>
      </c>
      <c r="AH24" s="62">
        <f>IF(ISBLANK('Données à saisir'!C83),0,'Données à saisir'!C83)</f>
        <v>0</v>
      </c>
      <c r="AI24" s="54">
        <f>IF(ISBLANK('Données à saisir'!D83),0,'Données à saisir'!D83)</f>
        <v>0</v>
      </c>
      <c r="AL24" s="38" t="s">
        <v>32</v>
      </c>
      <c r="AM24" s="1"/>
      <c r="AN24" s="1"/>
      <c r="AO24" s="104">
        <f>AG42</f>
        <v>1266.527812276719</v>
      </c>
      <c r="AP24" s="145">
        <f t="shared" si="5"/>
        <v>1.3101560073204914E-2</v>
      </c>
      <c r="AQ24" s="104">
        <f>AH42</f>
        <v>1316.527812276719</v>
      </c>
      <c r="AR24" s="149">
        <f t="shared" si="7"/>
        <v>1.1842420536713598E-2</v>
      </c>
      <c r="AS24" s="104">
        <f>AI42</f>
        <v>1366.527812276719</v>
      </c>
      <c r="AT24" s="146">
        <f t="shared" si="8"/>
        <v>1.1174709218368667E-2</v>
      </c>
      <c r="BF24" s="63" t="s">
        <v>205</v>
      </c>
      <c r="BG24" s="64"/>
      <c r="BH24" s="64"/>
      <c r="BI24" s="64"/>
      <c r="BJ24" s="65">
        <f>SUM(BJ19:BJ23)</f>
        <v>128196.92635956479</v>
      </c>
      <c r="BK24" s="65">
        <f>SUM(BK19:BK23)</f>
        <v>16262.977609564787</v>
      </c>
      <c r="BL24" s="66">
        <f>SUM(BL19:BL23)</f>
        <v>19214.630234564775</v>
      </c>
      <c r="BO24" s="63" t="s">
        <v>225</v>
      </c>
      <c r="BP24" s="64"/>
      <c r="BQ24" s="64"/>
      <c r="BR24" s="65">
        <f>SUM(BR22:BR23)</f>
        <v>98300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98300</v>
      </c>
    </row>
    <row r="25" spans="2:84" ht="15.1" customHeight="1" x14ac:dyDescent="0.25">
      <c r="B25" s="26"/>
      <c r="C25" s="334"/>
      <c r="D25" s="334"/>
      <c r="E25" s="334"/>
      <c r="F25" s="334"/>
      <c r="G25" s="334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294" t="s">
        <v>146</v>
      </c>
      <c r="U25" s="295"/>
      <c r="V25" s="295"/>
      <c r="W25" s="295"/>
      <c r="X25" s="295"/>
      <c r="Y25" s="295"/>
      <c r="Z25" s="296"/>
      <c r="AC25" s="44" t="str">
        <f>'Données à saisir'!A84</f>
        <v>Fournitures diverses</v>
      </c>
      <c r="AG25" s="62">
        <f>IF(ISBLANK('Données à saisir'!B84),0,'Données à saisir'!B84)</f>
        <v>600</v>
      </c>
      <c r="AH25" s="62">
        <f>IF(ISBLANK('Données à saisir'!C84),0,'Données à saisir'!C84)</f>
        <v>700</v>
      </c>
      <c r="AI25" s="54">
        <f>IF(ISBLANK('Données à saisir'!D84),0,'Données à saisir'!D84)</f>
        <v>800</v>
      </c>
      <c r="AL25" s="38" t="s">
        <v>157</v>
      </c>
      <c r="AM25" s="1"/>
      <c r="AN25" s="1"/>
      <c r="AO25" s="104">
        <f>AO24*-1</f>
        <v>-1266.527812276719</v>
      </c>
      <c r="AP25" s="145">
        <f t="shared" si="5"/>
        <v>-1.3101560073204914E-2</v>
      </c>
      <c r="AQ25" s="104">
        <f t="shared" ref="AQ25:AS25" si="19">AQ24*-1</f>
        <v>-1316.527812276719</v>
      </c>
      <c r="AR25" s="149">
        <f t="shared" si="7"/>
        <v>-1.1842420536713598E-2</v>
      </c>
      <c r="AS25" s="104">
        <f t="shared" si="19"/>
        <v>-1366.527812276719</v>
      </c>
      <c r="AT25" s="146">
        <f t="shared" si="8"/>
        <v>-1.1174709218368667E-2</v>
      </c>
      <c r="BA25" s="90"/>
      <c r="BF25" s="123" t="s">
        <v>206</v>
      </c>
      <c r="BJ25" s="104">
        <f>BJ24-BJ18</f>
        <v>19060.505615924863</v>
      </c>
      <c r="BK25" s="104">
        <f>BK24-BK18</f>
        <v>8923.2287837330841</v>
      </c>
      <c r="BL25" s="120">
        <f>BL24-BL18</f>
        <v>11854.156134760469</v>
      </c>
      <c r="BO25" s="123" t="s">
        <v>259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3000</v>
      </c>
      <c r="T26" s="297"/>
      <c r="U26" s="298"/>
      <c r="V26" s="298"/>
      <c r="W26" s="298"/>
      <c r="X26" s="298"/>
      <c r="Y26" s="298"/>
      <c r="Z26" s="299"/>
      <c r="AC26" s="44" t="str">
        <f>'Données à saisir'!A85</f>
        <v>Entretien matériel et vêtements</v>
      </c>
      <c r="AG26" s="62">
        <f>IF(ISBLANK('Données à saisir'!B85),0,'Données à saisir'!B85)</f>
        <v>300</v>
      </c>
      <c r="AH26" s="62">
        <f>IF(ISBLANK('Données à saisir'!C85),0,'Données à saisir'!C85)</f>
        <v>350</v>
      </c>
      <c r="AI26" s="54">
        <f>IF(ISBLANK('Données à saisir'!D85),0,'Données à saisir'!D85)</f>
        <v>400</v>
      </c>
      <c r="AL26" s="63" t="s">
        <v>159</v>
      </c>
      <c r="AM26" s="64"/>
      <c r="AN26" s="64"/>
      <c r="AO26" s="65">
        <f>AO23+AO25</f>
        <v>22866.972187723281</v>
      </c>
      <c r="AP26" s="147">
        <f t="shared" si="5"/>
        <v>0.2365467279168644</v>
      </c>
      <c r="AQ26" s="65">
        <f t="shared" ref="AQ26:AS26" si="21">AQ23+AQ25</f>
        <v>16238.797187723278</v>
      </c>
      <c r="AR26" s="148">
        <f t="shared" si="7"/>
        <v>0.14607109968672694</v>
      </c>
      <c r="AS26" s="65">
        <f t="shared" si="21"/>
        <v>19711.329687723264</v>
      </c>
      <c r="AT26" s="150">
        <f t="shared" si="8"/>
        <v>0.16118836044816717</v>
      </c>
      <c r="BF26" s="63" t="s">
        <v>260</v>
      </c>
      <c r="BG26" s="64"/>
      <c r="BH26" s="64"/>
      <c r="BI26" s="64"/>
      <c r="BJ26" s="65">
        <f>BJ25</f>
        <v>19060.505615924863</v>
      </c>
      <c r="BK26" s="65">
        <f>BJ26+BK25</f>
        <v>27983.734399657948</v>
      </c>
      <c r="BL26" s="66">
        <f>+BK26+BL25</f>
        <v>39837.890534418417</v>
      </c>
      <c r="BO26" s="123" t="s">
        <v>226</v>
      </c>
      <c r="BR26" s="104">
        <f>IF(ISERROR('Données à saisir'!$J$73/12),0,'Données à saisir'!$J$73/12)</f>
        <v>619.04761904761904</v>
      </c>
      <c r="BS26" s="104">
        <f>IF(ISERROR('Données à saisir'!$J$73/12),0,'Données à saisir'!$J$73/12)</f>
        <v>619.04761904761904</v>
      </c>
      <c r="BT26" s="104">
        <f>IF(ISERROR('Données à saisir'!$J$73/12),0,'Données à saisir'!$J$73/12)</f>
        <v>619.04761904761904</v>
      </c>
      <c r="BU26" s="104">
        <f>IF(ISERROR('Données à saisir'!$J$73/12),0,'Données à saisir'!$J$73/12)</f>
        <v>619.04761904761904</v>
      </c>
      <c r="BV26" s="120">
        <f>IF(ISERROR('Données à saisir'!$J$73/12),0,'Données à saisir'!$J$73/12)</f>
        <v>619.04761904761904</v>
      </c>
      <c r="BY26" s="196">
        <f>IF(ISERROR('Données à saisir'!$J$73/12),0,'Données à saisir'!$J$73/12)</f>
        <v>619.04761904761904</v>
      </c>
      <c r="BZ26" s="104">
        <f>IF(ISERROR('Données à saisir'!$J$73/12),0,'Données à saisir'!$J$73/12)</f>
        <v>619.04761904761904</v>
      </c>
      <c r="CA26" s="104">
        <f>IF(ISERROR('Données à saisir'!$J$73/12),0,'Données à saisir'!$J$73/12)</f>
        <v>619.04761904761904</v>
      </c>
      <c r="CB26" s="104">
        <f>IF(ISERROR('Données à saisir'!$J$73/12),0,'Données à saisir'!$J$73/12)</f>
        <v>619.04761904761904</v>
      </c>
      <c r="CC26" s="104">
        <f>IF(ISERROR('Données à saisir'!$J$73/12),0,'Données à saisir'!$J$73/12)</f>
        <v>619.04761904761904</v>
      </c>
      <c r="CD26" s="104">
        <f>IF(ISERROR('Données à saisir'!$J$73/12),0,'Données à saisir'!$J$73/12)</f>
        <v>619.04761904761904</v>
      </c>
      <c r="CE26" s="132">
        <f>IF(ISERROR('Données à saisir'!$J$73/12),0,'Données à saisir'!$J$73/12)</f>
        <v>619.04761904761904</v>
      </c>
      <c r="CF26" s="201">
        <f t="shared" si="20"/>
        <v>7428.5714285714303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0"/>
      <c r="U27" s="301"/>
      <c r="V27" s="301"/>
      <c r="W27" s="301"/>
      <c r="X27" s="301"/>
      <c r="Y27" s="301"/>
      <c r="Z27" s="302"/>
      <c r="AC27" s="44" t="str">
        <f>'Données à saisir'!A86</f>
        <v>Nettoyage des locaux</v>
      </c>
      <c r="AG27" s="62">
        <f>IF(ISBLANK('Données à saisir'!B86),0,'Données à saisir'!B86)</f>
        <v>350</v>
      </c>
      <c r="AH27" s="62">
        <f>IF(ISBLANK('Données à saisir'!C86),0,'Données à saisir'!C86)</f>
        <v>400</v>
      </c>
      <c r="AI27" s="54">
        <f>IF(ISBLANK('Données à saisir'!D86),0,'Données à saisir'!D86)</f>
        <v>400</v>
      </c>
      <c r="AL27" s="63" t="s">
        <v>160</v>
      </c>
      <c r="AM27" s="64"/>
      <c r="AN27" s="64"/>
      <c r="AO27" s="65">
        <f>IF(ISERROR(AO26-AG45),AO26,(AO26-AG45))</f>
        <v>19436.92635956479</v>
      </c>
      <c r="AP27" s="147">
        <f t="shared" si="5"/>
        <v>0.20106471872933473</v>
      </c>
      <c r="AQ27" s="65">
        <f>IF(ISERROR(AQ26-AH45),AQ26,(AQ26-AH45))</f>
        <v>13802.977609564787</v>
      </c>
      <c r="AR27" s="148">
        <f t="shared" si="7"/>
        <v>0.12416043473371791</v>
      </c>
      <c r="AS27" s="65">
        <f>IF(ISERROR(AS26-AI45),AS26,(AS26-AI45))</f>
        <v>16754.630234564775</v>
      </c>
      <c r="AT27" s="150">
        <f t="shared" si="8"/>
        <v>0.1370101063809421</v>
      </c>
      <c r="BO27" s="123" t="s">
        <v>227</v>
      </c>
      <c r="BR27" s="104">
        <f>BR19*'Données à saisir'!$D$123</f>
        <v>297</v>
      </c>
      <c r="BS27" s="104">
        <f>BS19*'Données à saisir'!$D$123</f>
        <v>396</v>
      </c>
      <c r="BT27" s="104">
        <f>BT19*'Données à saisir'!$D$123</f>
        <v>396</v>
      </c>
      <c r="BU27" s="104">
        <f>BU19*'Données à saisir'!$D$123</f>
        <v>450</v>
      </c>
      <c r="BV27" s="120">
        <f>BV19*'Données à saisir'!$D$123</f>
        <v>594</v>
      </c>
      <c r="BY27" s="196">
        <f>BY19*'Données à saisir'!$D$123</f>
        <v>792</v>
      </c>
      <c r="BZ27" s="104">
        <f>BZ19*'Données à saisir'!$D$123</f>
        <v>792</v>
      </c>
      <c r="CA27" s="104">
        <f>CA19*'Données à saisir'!$D$123</f>
        <v>540</v>
      </c>
      <c r="CB27" s="104">
        <f>CB19*'Données à saisir'!$D$123</f>
        <v>693</v>
      </c>
      <c r="CC27" s="104">
        <f>CC19*'Données à saisir'!$D$123</f>
        <v>472.5</v>
      </c>
      <c r="CD27" s="104">
        <f>CD19*'Données à saisir'!$D$123</f>
        <v>792</v>
      </c>
      <c r="CE27" s="132">
        <f>CE19*'Données à saisir'!$D$123</f>
        <v>990</v>
      </c>
      <c r="CF27" s="201">
        <f t="shared" si="20"/>
        <v>7204.5</v>
      </c>
    </row>
    <row r="28" spans="2:84" ht="15.1" customHeight="1" thickBot="1" x14ac:dyDescent="0.3">
      <c r="B28" s="26"/>
      <c r="C28" s="335" t="str">
        <f>IF(ISBLANK('Données à saisir'!B7),"",('Données à saisir'!B7))</f>
        <v>Institut de beauté</v>
      </c>
      <c r="D28" s="335"/>
      <c r="E28" s="335"/>
      <c r="F28" s="335"/>
      <c r="G28" s="335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1500</v>
      </c>
      <c r="AH28" s="62">
        <f>IF(ISBLANK('Données à saisir'!C87),0,'Données à saisir'!C87)</f>
        <v>1500</v>
      </c>
      <c r="AI28" s="54">
        <f>IF(ISBLANK('Données à saisir'!D87),0,'Données à saisir'!D87)</f>
        <v>1600</v>
      </c>
      <c r="AL28" s="38" t="s">
        <v>158</v>
      </c>
      <c r="AM28" s="1"/>
      <c r="AN28" s="1"/>
      <c r="AO28" s="104">
        <f>AO27+AO22</f>
        <v>21896.92635956479</v>
      </c>
      <c r="AP28" s="145">
        <f t="shared" si="5"/>
        <v>0.22651211709490834</v>
      </c>
      <c r="AQ28" s="104">
        <f t="shared" ref="AQ28:AS28" si="22">AQ27+AQ22</f>
        <v>16262.977609564787</v>
      </c>
      <c r="AR28" s="149">
        <f t="shared" si="7"/>
        <v>0.14628860722552103</v>
      </c>
      <c r="AS28" s="104">
        <f t="shared" si="22"/>
        <v>19214.630234564775</v>
      </c>
      <c r="AT28" s="151">
        <f t="shared" si="8"/>
        <v>0.15712662682803585</v>
      </c>
      <c r="BF28" s="92" t="s">
        <v>256</v>
      </c>
      <c r="BI28" s="314">
        <f>Q31</f>
        <v>4000</v>
      </c>
      <c r="BJ28" s="314"/>
      <c r="BO28" s="123" t="s">
        <v>81</v>
      </c>
      <c r="BR28" s="104">
        <f>$AG$17/12</f>
        <v>2415.8333333333335</v>
      </c>
      <c r="BS28" s="104">
        <f t="shared" ref="BS28:CE28" si="23">$AG$17/12</f>
        <v>2415.8333333333335</v>
      </c>
      <c r="BT28" s="104">
        <f t="shared" si="23"/>
        <v>2415.8333333333335</v>
      </c>
      <c r="BU28" s="104">
        <f t="shared" si="23"/>
        <v>2415.8333333333335</v>
      </c>
      <c r="BV28" s="120">
        <f t="shared" si="23"/>
        <v>2415.8333333333335</v>
      </c>
      <c r="BY28" s="196">
        <f t="shared" si="23"/>
        <v>2415.8333333333335</v>
      </c>
      <c r="BZ28" s="104">
        <f t="shared" si="23"/>
        <v>2415.8333333333335</v>
      </c>
      <c r="CA28" s="104">
        <f t="shared" si="23"/>
        <v>2415.8333333333335</v>
      </c>
      <c r="CB28" s="104">
        <f t="shared" si="23"/>
        <v>2415.8333333333335</v>
      </c>
      <c r="CC28" s="104">
        <f t="shared" si="23"/>
        <v>2415.8333333333335</v>
      </c>
      <c r="CD28" s="104">
        <f t="shared" si="23"/>
        <v>2415.8333333333335</v>
      </c>
      <c r="CE28" s="132">
        <f t="shared" si="23"/>
        <v>2415.8333333333335</v>
      </c>
      <c r="CF28" s="201">
        <f t="shared" si="20"/>
        <v>28989.999999999996</v>
      </c>
    </row>
    <row r="29" spans="2:84" ht="15.1" customHeight="1" x14ac:dyDescent="0.25">
      <c r="B29" s="26"/>
      <c r="C29" s="335"/>
      <c r="D29" s="335"/>
      <c r="E29" s="335"/>
      <c r="F29" s="335"/>
      <c r="G29" s="335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16000</v>
      </c>
      <c r="AH29" s="62">
        <f>IF(ISBLANK('Données à saisir'!C88),0,'Données à saisir'!C88)</f>
        <v>16500</v>
      </c>
      <c r="AI29" s="54">
        <f>IF(ISBLANK('Données à saisir'!D88),0,'Données à saisir'!D88)</f>
        <v>17000</v>
      </c>
      <c r="AL29" s="34"/>
      <c r="AM29" s="34"/>
      <c r="AN29" s="34"/>
      <c r="AO29" s="34"/>
      <c r="AP29" s="34"/>
      <c r="AQ29" s="34"/>
      <c r="AR29" s="34"/>
      <c r="AS29" s="34"/>
      <c r="AW29" s="294" t="s">
        <v>181</v>
      </c>
      <c r="AX29" s="295"/>
      <c r="AY29" s="295"/>
      <c r="AZ29" s="295"/>
      <c r="BA29" s="295"/>
      <c r="BB29" s="295"/>
      <c r="BC29" s="296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35"/>
      <c r="D30" s="335"/>
      <c r="E30" s="335"/>
      <c r="F30" s="335"/>
      <c r="G30" s="335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2900</v>
      </c>
      <c r="AH30" s="62">
        <f>IF(ISBLANK('Données à saisir'!C89),0,'Données à saisir'!C89)</f>
        <v>3000</v>
      </c>
      <c r="AI30" s="54">
        <f>IF(ISBLANK('Données à saisir'!D89),0,'Données à saisir'!D89)</f>
        <v>3100</v>
      </c>
      <c r="AL30" s="4"/>
      <c r="AO30" s="99"/>
      <c r="AP30" s="99"/>
      <c r="AQ30" s="99"/>
      <c r="AR30" s="99"/>
      <c r="AS30" s="99"/>
      <c r="AT30" s="99"/>
      <c r="AW30" s="297"/>
      <c r="AX30" s="298"/>
      <c r="AY30" s="298"/>
      <c r="AZ30" s="298"/>
      <c r="BA30" s="298"/>
      <c r="BB30" s="298"/>
      <c r="BC30" s="299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675</v>
      </c>
      <c r="BS30" s="119">
        <f t="shared" si="24"/>
        <v>675</v>
      </c>
      <c r="BT30" s="119">
        <f t="shared" si="24"/>
        <v>675</v>
      </c>
      <c r="BU30" s="119">
        <f t="shared" si="24"/>
        <v>675</v>
      </c>
      <c r="BV30" s="209">
        <f t="shared" si="24"/>
        <v>675</v>
      </c>
      <c r="BY30" s="210">
        <f t="shared" si="25"/>
        <v>675</v>
      </c>
      <c r="BZ30" s="119">
        <f t="shared" si="25"/>
        <v>675</v>
      </c>
      <c r="CA30" s="119">
        <f t="shared" si="25"/>
        <v>675</v>
      </c>
      <c r="CB30" s="119">
        <f t="shared" si="25"/>
        <v>675</v>
      </c>
      <c r="CC30" s="119">
        <f t="shared" si="25"/>
        <v>675</v>
      </c>
      <c r="CD30" s="119">
        <f t="shared" si="25"/>
        <v>675</v>
      </c>
      <c r="CE30" s="211">
        <f t="shared" si="25"/>
        <v>675</v>
      </c>
      <c r="CF30" s="213">
        <f t="shared" si="20"/>
        <v>8100</v>
      </c>
    </row>
    <row r="31" spans="2:84" ht="15.1" customHeight="1" thickBot="1" x14ac:dyDescent="0.3">
      <c r="B31" s="26"/>
      <c r="C31" s="335"/>
      <c r="D31" s="335"/>
      <c r="E31" s="335"/>
      <c r="F31" s="335"/>
      <c r="G31" s="335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4000</v>
      </c>
      <c r="T31" s="107" t="s">
        <v>147</v>
      </c>
      <c r="U31" s="34"/>
      <c r="V31" s="34"/>
      <c r="W31" s="34"/>
      <c r="X31" s="110">
        <f>SUM(X33:X39)</f>
        <v>460</v>
      </c>
      <c r="Y31" s="110">
        <f>SUM(Y33:Y39)</f>
        <v>460</v>
      </c>
      <c r="Z31" s="111">
        <f>SUM(Z33:Z39)</f>
        <v>460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330</v>
      </c>
      <c r="AH31" s="62">
        <f>IF(ISBLANK('Données à saisir'!C93),0,'Données à saisir'!C93)</f>
        <v>350</v>
      </c>
      <c r="AI31" s="69">
        <f>IF(ISBLANK('Données à saisir'!D93),0,'Données à saisir'!D93)</f>
        <v>350</v>
      </c>
      <c r="AL31" s="4"/>
      <c r="AO31" s="99"/>
      <c r="AP31" s="99"/>
      <c r="AQ31" s="99"/>
      <c r="AR31" s="99"/>
      <c r="AS31" s="99"/>
      <c r="AT31" s="99"/>
      <c r="AW31" s="300"/>
      <c r="AX31" s="301"/>
      <c r="AY31" s="301"/>
      <c r="AZ31" s="301"/>
      <c r="BA31" s="301"/>
      <c r="BB31" s="301"/>
      <c r="BC31" s="302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486</v>
      </c>
      <c r="BS31" s="104">
        <f t="shared" si="24"/>
        <v>486</v>
      </c>
      <c r="BT31" s="104">
        <f t="shared" si="24"/>
        <v>486</v>
      </c>
      <c r="BU31" s="104">
        <f t="shared" si="24"/>
        <v>486</v>
      </c>
      <c r="BV31" s="120">
        <f t="shared" si="24"/>
        <v>486</v>
      </c>
      <c r="BY31" s="196">
        <f t="shared" si="25"/>
        <v>486</v>
      </c>
      <c r="BZ31" s="104">
        <f t="shared" si="25"/>
        <v>486</v>
      </c>
      <c r="CA31" s="104">
        <f t="shared" si="25"/>
        <v>486</v>
      </c>
      <c r="CB31" s="104">
        <f t="shared" si="25"/>
        <v>486</v>
      </c>
      <c r="CC31" s="104">
        <f t="shared" si="25"/>
        <v>486</v>
      </c>
      <c r="CD31" s="104">
        <f t="shared" si="25"/>
        <v>486</v>
      </c>
      <c r="CE31" s="132">
        <f t="shared" si="25"/>
        <v>486</v>
      </c>
      <c r="CF31" s="201">
        <f t="shared" si="20"/>
        <v>5832</v>
      </c>
    </row>
    <row r="32" spans="2:84" ht="15.1" customHeight="1" x14ac:dyDescent="0.25">
      <c r="B32" s="26"/>
      <c r="C32" s="335"/>
      <c r="D32" s="335"/>
      <c r="E32" s="335"/>
      <c r="F32" s="335"/>
      <c r="G32" s="335"/>
      <c r="H32" s="27"/>
      <c r="K32" s="39"/>
      <c r="O32" s="1" t="s">
        <v>75</v>
      </c>
      <c r="Q32" s="45">
        <f>+SUM(Q12,Q23,Q30:Q31)</f>
        <v>106300</v>
      </c>
      <c r="T32" s="35"/>
      <c r="X32" s="234"/>
      <c r="Y32" s="234"/>
      <c r="Z32" s="235"/>
      <c r="AC32" s="44" t="str">
        <f>IF(ISBLANK('Données à saisir'!A94),"",'Données à saisir'!A94)</f>
        <v>Produits professionnels</v>
      </c>
      <c r="AD32" s="50"/>
      <c r="AE32" s="50"/>
      <c r="AF32" s="50"/>
      <c r="AG32" s="62">
        <f>IF(ISBLANK('Données à saisir'!B94),0,'Données à saisir'!B94)</f>
        <v>1900</v>
      </c>
      <c r="AH32" s="62">
        <f>IF(ISBLANK('Données à saisir'!C94),0,'Données à saisir'!C94)</f>
        <v>2200</v>
      </c>
      <c r="AI32" s="69">
        <f>IF(ISBLANK('Données à saisir'!D94),0,'Données à saisir'!D94)</f>
        <v>2300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1250</v>
      </c>
      <c r="BS32" s="104">
        <f t="shared" si="24"/>
        <v>1250</v>
      </c>
      <c r="BT32" s="104">
        <f t="shared" si="24"/>
        <v>1250</v>
      </c>
      <c r="BU32" s="104">
        <f t="shared" si="24"/>
        <v>1250</v>
      </c>
      <c r="BV32" s="120">
        <f t="shared" si="24"/>
        <v>1250</v>
      </c>
      <c r="BY32" s="196">
        <f t="shared" si="25"/>
        <v>1250</v>
      </c>
      <c r="BZ32" s="104">
        <f t="shared" si="25"/>
        <v>1250</v>
      </c>
      <c r="CA32" s="104">
        <f t="shared" si="25"/>
        <v>1250</v>
      </c>
      <c r="CB32" s="104">
        <f t="shared" si="25"/>
        <v>1250</v>
      </c>
      <c r="CC32" s="104">
        <f t="shared" si="25"/>
        <v>1250</v>
      </c>
      <c r="CD32" s="104">
        <f t="shared" si="25"/>
        <v>1250</v>
      </c>
      <c r="CE32" s="132">
        <f t="shared" si="25"/>
        <v>1250</v>
      </c>
      <c r="CF32" s="201">
        <f t="shared" si="20"/>
        <v>15000</v>
      </c>
    </row>
    <row r="33" spans="2:84" ht="15.1" customHeight="1" thickBot="1" x14ac:dyDescent="0.3">
      <c r="B33" s="26"/>
      <c r="C33" s="338" t="str">
        <f>IF(ISBLANK('Données à saisir'!B8),"",('Données à saisir'!B8))</f>
        <v>SASU (IS)</v>
      </c>
      <c r="D33" s="338"/>
      <c r="E33" s="338"/>
      <c r="F33" s="338"/>
      <c r="G33" s="338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/>
      </c>
      <c r="AG33" s="62">
        <f>IF(ISBLANK('Données à saisir'!B95),0,'Données à saisir'!B95)</f>
        <v>0</v>
      </c>
      <c r="AH33" s="62">
        <f>IF(ISBLANK('Données à saisir'!C95),0,'Données à saisir'!C95)</f>
        <v>0</v>
      </c>
      <c r="AI33" s="69">
        <f>IF(ISBLANK('Données à saisir'!D95),0,'Données à saisir'!D95)</f>
        <v>0</v>
      </c>
      <c r="AW33" s="92" t="s">
        <v>190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412.5</v>
      </c>
      <c r="BS33" s="104">
        <f t="shared" si="24"/>
        <v>412.5</v>
      </c>
      <c r="BT33" s="104">
        <f t="shared" si="24"/>
        <v>412.5</v>
      </c>
      <c r="BU33" s="104">
        <f t="shared" si="24"/>
        <v>412.5</v>
      </c>
      <c r="BV33" s="120">
        <f t="shared" si="24"/>
        <v>412.5</v>
      </c>
      <c r="BY33" s="196">
        <f t="shared" si="25"/>
        <v>412.5</v>
      </c>
      <c r="BZ33" s="104">
        <f t="shared" si="25"/>
        <v>412.5</v>
      </c>
      <c r="CA33" s="104">
        <f t="shared" si="25"/>
        <v>412.5</v>
      </c>
      <c r="CB33" s="104">
        <f t="shared" si="25"/>
        <v>412.5</v>
      </c>
      <c r="CC33" s="104">
        <f t="shared" si="25"/>
        <v>412.5</v>
      </c>
      <c r="CD33" s="104">
        <f t="shared" si="25"/>
        <v>412.5</v>
      </c>
      <c r="CE33" s="132">
        <f t="shared" si="25"/>
        <v>412.5</v>
      </c>
      <c r="CF33" s="201">
        <f t="shared" si="20"/>
        <v>4950</v>
      </c>
    </row>
    <row r="34" spans="2:84" ht="15.1" customHeight="1" x14ac:dyDescent="0.25">
      <c r="B34" s="26"/>
      <c r="C34" s="338"/>
      <c r="D34" s="338"/>
      <c r="E34" s="338"/>
      <c r="F34" s="338"/>
      <c r="G34" s="338"/>
      <c r="H34" s="27"/>
      <c r="K34" s="327" t="s">
        <v>135</v>
      </c>
      <c r="L34" s="328"/>
      <c r="M34" s="328"/>
      <c r="N34" s="328"/>
      <c r="O34" s="328"/>
      <c r="P34" s="329"/>
      <c r="Q34" s="325" t="s">
        <v>74</v>
      </c>
      <c r="T34" s="44" t="str">
        <f t="shared" ref="T34" si="26">K15</f>
        <v>Logiciels, formations</v>
      </c>
      <c r="X34" s="113">
        <f>'Données à saisir'!C42</f>
        <v>160</v>
      </c>
      <c r="Y34" s="113">
        <f>'Données à saisir'!D42</f>
        <v>160</v>
      </c>
      <c r="Z34" s="236">
        <f>'Données à saisir'!E42</f>
        <v>160</v>
      </c>
      <c r="AC34" s="67"/>
      <c r="AG34" s="62"/>
      <c r="AH34" s="62"/>
      <c r="AI34" s="69"/>
      <c r="AL34" s="294" t="s">
        <v>158</v>
      </c>
      <c r="AM34" s="295"/>
      <c r="AN34" s="295"/>
      <c r="AO34" s="295"/>
      <c r="AP34" s="295"/>
      <c r="AQ34" s="295"/>
      <c r="AR34" s="295"/>
      <c r="AS34" s="295"/>
      <c r="AT34" s="296"/>
      <c r="AW34" s="161"/>
      <c r="AX34" s="161"/>
      <c r="AZ34" s="172" t="s">
        <v>188</v>
      </c>
      <c r="BA34" s="303" t="s">
        <v>41</v>
      </c>
      <c r="BB34" s="305" t="s">
        <v>42</v>
      </c>
      <c r="BC34" s="307" t="s">
        <v>43</v>
      </c>
      <c r="BF34" s="183"/>
      <c r="BG34" s="184"/>
      <c r="BI34" s="184"/>
      <c r="BJ34" s="185"/>
      <c r="BK34" s="185"/>
      <c r="BL34" s="185"/>
      <c r="BO34" s="63" t="s">
        <v>228</v>
      </c>
      <c r="BP34" s="64"/>
      <c r="BQ34" s="64"/>
      <c r="BR34" s="65">
        <f>SUM(BR30:BR33)</f>
        <v>2823.5</v>
      </c>
      <c r="BS34" s="65">
        <f t="shared" ref="BS34:CE34" si="27">SUM(BS30:BS33)</f>
        <v>2823.5</v>
      </c>
      <c r="BT34" s="65">
        <f t="shared" si="27"/>
        <v>2823.5</v>
      </c>
      <c r="BU34" s="65">
        <f t="shared" si="27"/>
        <v>2823.5</v>
      </c>
      <c r="BV34" s="66">
        <f t="shared" si="27"/>
        <v>2823.5</v>
      </c>
      <c r="BY34" s="197">
        <f t="shared" si="27"/>
        <v>2823.5</v>
      </c>
      <c r="BZ34" s="65">
        <f t="shared" si="27"/>
        <v>2823.5</v>
      </c>
      <c r="CA34" s="65">
        <f t="shared" si="27"/>
        <v>2823.5</v>
      </c>
      <c r="CB34" s="65">
        <f t="shared" si="27"/>
        <v>2823.5</v>
      </c>
      <c r="CC34" s="65">
        <f t="shared" si="27"/>
        <v>2823.5</v>
      </c>
      <c r="CD34" s="65">
        <f t="shared" si="27"/>
        <v>2823.5</v>
      </c>
      <c r="CE34" s="131">
        <f t="shared" si="27"/>
        <v>2823.5</v>
      </c>
      <c r="CF34" s="200">
        <f t="shared" si="20"/>
        <v>33882</v>
      </c>
    </row>
    <row r="35" spans="2:84" ht="15.1" customHeight="1" x14ac:dyDescent="0.25">
      <c r="B35" s="26"/>
      <c r="C35" s="338"/>
      <c r="D35" s="338"/>
      <c r="E35" s="338"/>
      <c r="F35" s="338"/>
      <c r="G35" s="338"/>
      <c r="H35" s="27"/>
      <c r="K35" s="330"/>
      <c r="L35" s="331"/>
      <c r="M35" s="331"/>
      <c r="N35" s="331"/>
      <c r="O35" s="331"/>
      <c r="P35" s="332"/>
      <c r="Q35" s="326"/>
      <c r="T35" s="44" t="str">
        <f>K17</f>
        <v>Droits d’entrée</v>
      </c>
      <c r="X35" s="113">
        <f>'Données à saisir'!C44</f>
        <v>0</v>
      </c>
      <c r="Y35" s="113">
        <f>'Données à saisir'!D44</f>
        <v>0</v>
      </c>
      <c r="Z35" s="236">
        <f>'Données à saisir'!E44</f>
        <v>0</v>
      </c>
      <c r="AC35" s="63" t="s">
        <v>127</v>
      </c>
      <c r="AD35" s="64"/>
      <c r="AE35" s="64"/>
      <c r="AF35" s="64"/>
      <c r="AG35" s="65">
        <f>AG16-AG17</f>
        <v>60475.5</v>
      </c>
      <c r="AH35" s="65">
        <f>AH16-AH17</f>
        <v>72419.324999999997</v>
      </c>
      <c r="AI35" s="66">
        <f>AI16-AI17</f>
        <v>81253.857499999984</v>
      </c>
      <c r="AL35" s="297"/>
      <c r="AM35" s="298"/>
      <c r="AN35" s="298"/>
      <c r="AO35" s="298"/>
      <c r="AP35" s="298"/>
      <c r="AQ35" s="298"/>
      <c r="AR35" s="298"/>
      <c r="AS35" s="298"/>
      <c r="AT35" s="299"/>
      <c r="AW35" s="63" t="s">
        <v>185</v>
      </c>
      <c r="AX35" s="64"/>
      <c r="AY35" s="64"/>
      <c r="AZ35" s="64"/>
      <c r="BA35" s="304"/>
      <c r="BB35" s="306"/>
      <c r="BC35" s="308"/>
      <c r="BO35" s="123" t="str">
        <f>AC42</f>
        <v>Frais bancaires, charges financières</v>
      </c>
      <c r="BP35" s="1"/>
      <c r="BQ35" s="1"/>
      <c r="BR35" s="104">
        <f>$AG42/12</f>
        <v>105.54398435639325</v>
      </c>
      <c r="BS35" s="104">
        <f>$AG42/12</f>
        <v>105.54398435639325</v>
      </c>
      <c r="BT35" s="104">
        <f>$AG42/12</f>
        <v>105.54398435639325</v>
      </c>
      <c r="BU35" s="104">
        <f>$AG42/12</f>
        <v>105.54398435639325</v>
      </c>
      <c r="BV35" s="120">
        <f>$AG42/12</f>
        <v>105.54398435639325</v>
      </c>
      <c r="BY35" s="196">
        <f t="shared" ref="BY35:CE35" si="28">$AG42/12</f>
        <v>105.54398435639325</v>
      </c>
      <c r="BZ35" s="104">
        <f t="shared" si="28"/>
        <v>105.54398435639325</v>
      </c>
      <c r="CA35" s="104">
        <f t="shared" si="28"/>
        <v>105.54398435639325</v>
      </c>
      <c r="CB35" s="104">
        <f t="shared" si="28"/>
        <v>105.54398435639325</v>
      </c>
      <c r="CC35" s="104">
        <f t="shared" si="28"/>
        <v>105.54398435639325</v>
      </c>
      <c r="CD35" s="104">
        <f t="shared" si="28"/>
        <v>105.54398435639325</v>
      </c>
      <c r="CE35" s="132">
        <f t="shared" si="28"/>
        <v>105.54398435639325</v>
      </c>
      <c r="CF35" s="201">
        <f t="shared" si="20"/>
        <v>1266.527812276719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80</v>
      </c>
      <c r="Y36" s="113">
        <f>'Données à saisir'!D48</f>
        <v>80</v>
      </c>
      <c r="Z36" s="236">
        <f>'Données à saisir'!E48</f>
        <v>80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900</v>
      </c>
      <c r="AI36" s="53">
        <f>IF(ISBLANK('Données à saisir'!D91),0,'Données à saisir'!D91)</f>
        <v>940</v>
      </c>
      <c r="AL36" s="300"/>
      <c r="AM36" s="301"/>
      <c r="AN36" s="301"/>
      <c r="AO36" s="301"/>
      <c r="AP36" s="301"/>
      <c r="AQ36" s="301"/>
      <c r="AR36" s="301"/>
      <c r="AS36" s="301"/>
      <c r="AT36" s="302"/>
      <c r="AW36" s="123" t="s">
        <v>187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229</v>
      </c>
      <c r="BP36" s="64"/>
      <c r="BQ36" s="64"/>
      <c r="BR36" s="65">
        <f>SUM(BR24:BR29,BR34:BR35)</f>
        <v>108560.92493673734</v>
      </c>
      <c r="BS36" s="65">
        <f>SUM(BS24:BS29,BS34:BS35)</f>
        <v>6359.9249367373459</v>
      </c>
      <c r="BT36" s="65">
        <f>SUM(BT24:BT29,BT34:BT35)</f>
        <v>6359.9249367373459</v>
      </c>
      <c r="BU36" s="65">
        <f>SUM(BU24:BU29,BU34:BU35)</f>
        <v>6413.9249367373459</v>
      </c>
      <c r="BV36" s="66">
        <f>SUM(BV24:BV29,BV34:BV35)</f>
        <v>6557.9249367373459</v>
      </c>
      <c r="BY36" s="197">
        <f t="shared" ref="BY36:CE36" si="29">SUM(BY24:BY29,BY34:BY35)</f>
        <v>6755.9249367373459</v>
      </c>
      <c r="BZ36" s="65">
        <f t="shared" si="29"/>
        <v>6755.9249367373459</v>
      </c>
      <c r="CA36" s="65">
        <f t="shared" si="29"/>
        <v>6503.9249367373459</v>
      </c>
      <c r="CB36" s="65">
        <f t="shared" si="29"/>
        <v>6656.9249367373459</v>
      </c>
      <c r="CC36" s="65">
        <f t="shared" si="29"/>
        <v>6436.4249367373459</v>
      </c>
      <c r="CD36" s="65">
        <f t="shared" si="29"/>
        <v>6755.9249367373459</v>
      </c>
      <c r="CE36" s="131">
        <f t="shared" si="29"/>
        <v>6953.9249367373459</v>
      </c>
      <c r="CF36" s="200">
        <f t="shared" si="20"/>
        <v>181071.5992408481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54300</v>
      </c>
      <c r="T37" s="44" t="str">
        <f>K22</f>
        <v>Frais de notaire ou d’avocat</v>
      </c>
      <c r="X37" s="113">
        <f>'Données à saisir'!C49</f>
        <v>120</v>
      </c>
      <c r="Y37" s="113">
        <f>'Données à saisir'!D49</f>
        <v>120</v>
      </c>
      <c r="Z37" s="236">
        <f>'Données à saisir'!E49</f>
        <v>120</v>
      </c>
      <c r="AC37" s="38" t="s">
        <v>23</v>
      </c>
      <c r="AG37" s="57">
        <f>'Données à saisir'!B133</f>
        <v>8100</v>
      </c>
      <c r="AH37" s="57">
        <f>'Données à saisir'!C133</f>
        <v>8200</v>
      </c>
      <c r="AI37" s="53">
        <f>'Données à saisir'!D133</f>
        <v>8300</v>
      </c>
      <c r="AW37" s="63" t="s">
        <v>184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231</v>
      </c>
      <c r="BP37" s="64"/>
      <c r="BQ37" s="64"/>
      <c r="BR37" s="65">
        <f>SUM(BR15:BR20)</f>
        <v>111360</v>
      </c>
      <c r="BS37" s="65">
        <f>SUM(BS15:BS20)</f>
        <v>5720</v>
      </c>
      <c r="BT37" s="65">
        <f>SUM(BT15:BT20)</f>
        <v>6160</v>
      </c>
      <c r="BU37" s="65">
        <f>SUM(BU15:BU20)</f>
        <v>7000</v>
      </c>
      <c r="BV37" s="66">
        <f>SUM(BV15:BV20)</f>
        <v>9020</v>
      </c>
      <c r="BY37" s="197">
        <f t="shared" ref="BY37:CE37" si="30">SUM(BY15:BY20)</f>
        <v>10120</v>
      </c>
      <c r="BZ37" s="65">
        <f t="shared" si="30"/>
        <v>10120</v>
      </c>
      <c r="CA37" s="65">
        <f t="shared" si="30"/>
        <v>6900</v>
      </c>
      <c r="CB37" s="65">
        <f t="shared" si="30"/>
        <v>9900</v>
      </c>
      <c r="CC37" s="65">
        <f t="shared" si="30"/>
        <v>6750</v>
      </c>
      <c r="CD37" s="65">
        <f t="shared" si="30"/>
        <v>10120</v>
      </c>
      <c r="CE37" s="131">
        <f t="shared" si="30"/>
        <v>9800</v>
      </c>
      <c r="CF37" s="200">
        <f t="shared" ref="CF37" si="31">SUM(BR37:CE37)</f>
        <v>202970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54300</v>
      </c>
      <c r="T38" s="44"/>
      <c r="X38" s="113"/>
      <c r="Y38" s="113"/>
      <c r="Z38" s="236"/>
      <c r="AC38" s="123" t="s">
        <v>24</v>
      </c>
      <c r="AG38" s="104">
        <f>'Données à saisir'!B139</f>
        <v>5832</v>
      </c>
      <c r="AH38" s="104">
        <f>'Données à saisir'!C139</f>
        <v>5904</v>
      </c>
      <c r="AI38" s="120">
        <f>'Données à saisir'!D139</f>
        <v>5976</v>
      </c>
      <c r="AW38" s="162" t="s">
        <v>186</v>
      </c>
      <c r="AX38" s="108"/>
      <c r="AY38" s="108"/>
      <c r="AZ38" s="170">
        <f>'Données à saisir'!D128</f>
        <v>30</v>
      </c>
      <c r="BA38" s="176">
        <f>BA12/365*$AZ38</f>
        <v>592.15068493150682</v>
      </c>
      <c r="BB38" s="177">
        <f>BB12/365*$AZ38</f>
        <v>680.97328767123304</v>
      </c>
      <c r="BC38" s="178">
        <f>BC12/365*$AZ38</f>
        <v>749.0706164383563</v>
      </c>
      <c r="BF38" s="179"/>
      <c r="BG38" s="179"/>
      <c r="BH38" s="179"/>
      <c r="BI38" s="179"/>
      <c r="BJ38" s="179"/>
      <c r="BK38" s="179"/>
      <c r="BL38" s="179"/>
      <c r="BO38" s="123" t="s">
        <v>230</v>
      </c>
      <c r="BR38" s="62">
        <v>0</v>
      </c>
      <c r="BS38" s="104">
        <f>BR40</f>
        <v>2799.0750632626587</v>
      </c>
      <c r="BT38" s="104">
        <f>BS40</f>
        <v>2159.1501265253128</v>
      </c>
      <c r="BU38" s="104">
        <f>BT40</f>
        <v>1959.2251897879669</v>
      </c>
      <c r="BV38" s="159">
        <f>BU40</f>
        <v>2545.300253050621</v>
      </c>
      <c r="BY38" s="196">
        <f>BV40</f>
        <v>5007.3753163132751</v>
      </c>
      <c r="BZ38" s="104">
        <f t="shared" ref="BZ38:CE38" si="32">BY40</f>
        <v>8371.4503795759301</v>
      </c>
      <c r="CA38" s="104">
        <f t="shared" si="32"/>
        <v>11735.525442838585</v>
      </c>
      <c r="CB38" s="104">
        <f t="shared" si="32"/>
        <v>12131.60050610124</v>
      </c>
      <c r="CC38" s="104">
        <f t="shared" si="32"/>
        <v>15374.675569363895</v>
      </c>
      <c r="CD38" s="104">
        <f t="shared" si="32"/>
        <v>15688.25063262655</v>
      </c>
      <c r="CE38" s="132">
        <f t="shared" si="32"/>
        <v>19052.325695889205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15000</v>
      </c>
      <c r="AH39" s="57">
        <f>'Données à saisir'!C134</f>
        <v>22000</v>
      </c>
      <c r="AI39" s="53">
        <f>'Données à saisir'!D134</f>
        <v>25000</v>
      </c>
      <c r="AW39" s="166" t="s">
        <v>189</v>
      </c>
      <c r="AX39" s="165"/>
      <c r="AY39" s="64"/>
      <c r="AZ39" s="167"/>
      <c r="BA39" s="173">
        <f>BA36-BA38</f>
        <v>-592.15068493150682</v>
      </c>
      <c r="BB39" s="174">
        <f>BB36-BB38</f>
        <v>-680.97328767123304</v>
      </c>
      <c r="BC39" s="175">
        <f>BC36-BC38</f>
        <v>-749.0706164383563</v>
      </c>
      <c r="BF39" s="179"/>
      <c r="BG39" s="179"/>
      <c r="BH39" s="179"/>
      <c r="BI39" s="179"/>
      <c r="BJ39" s="179"/>
      <c r="BK39" s="179"/>
      <c r="BL39" s="179"/>
      <c r="BO39" s="70" t="s">
        <v>237</v>
      </c>
      <c r="BP39" s="50"/>
      <c r="BQ39" s="50"/>
      <c r="BR39" s="57">
        <f>BR37-BR36</f>
        <v>2799.0750632626587</v>
      </c>
      <c r="BS39" s="57">
        <f t="shared" ref="BS39:CE39" si="33">BS37-BS36</f>
        <v>-639.92493673734589</v>
      </c>
      <c r="BT39" s="57">
        <f t="shared" si="33"/>
        <v>-199.92493673734589</v>
      </c>
      <c r="BU39" s="57">
        <f t="shared" si="33"/>
        <v>586.07506326265411</v>
      </c>
      <c r="BV39" s="68">
        <f t="shared" si="33"/>
        <v>2462.0750632626541</v>
      </c>
      <c r="BW39" s="1"/>
      <c r="BX39" s="1"/>
      <c r="BY39" s="215">
        <f t="shared" si="33"/>
        <v>3364.0750632626541</v>
      </c>
      <c r="BZ39" s="57">
        <f t="shared" si="33"/>
        <v>3364.0750632626541</v>
      </c>
      <c r="CA39" s="57">
        <f t="shared" si="33"/>
        <v>396.07506326265411</v>
      </c>
      <c r="CB39" s="57">
        <f t="shared" si="33"/>
        <v>3243.0750632626541</v>
      </c>
      <c r="CC39" s="57">
        <f t="shared" si="33"/>
        <v>313.57506326265411</v>
      </c>
      <c r="CD39" s="57">
        <f t="shared" si="33"/>
        <v>3364.0750632626541</v>
      </c>
      <c r="CE39" s="74">
        <f t="shared" si="33"/>
        <v>2846.0750632626541</v>
      </c>
      <c r="CF39" s="212"/>
    </row>
    <row r="40" spans="2:84" ht="15.1" customHeight="1" thickBot="1" x14ac:dyDescent="0.3">
      <c r="K40" s="38" t="s">
        <v>71</v>
      </c>
      <c r="N40" s="97" t="s">
        <v>136</v>
      </c>
      <c r="O40" s="97" t="s">
        <v>137</v>
      </c>
      <c r="Q40" s="41">
        <f>SUM(Q41:Q43)</f>
        <v>52000</v>
      </c>
      <c r="T40" s="107" t="s">
        <v>148</v>
      </c>
      <c r="U40" s="34"/>
      <c r="V40" s="34"/>
      <c r="W40" s="34"/>
      <c r="X40" s="110">
        <f>SUM(X42:X46)</f>
        <v>2000</v>
      </c>
      <c r="Y40" s="110">
        <f>SUM(Y42:Y46)</f>
        <v>2000</v>
      </c>
      <c r="Z40" s="237">
        <f>SUM(Z42:Z46)</f>
        <v>2000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4950</v>
      </c>
      <c r="AH40" s="104">
        <f>IF('Données à saisir'!C136="Oui",'Données à saisir'!H147,'Données à saisir'!C147)</f>
        <v>15399.999999999998</v>
      </c>
      <c r="AI40" s="120">
        <f>IF('Données à saisir'!C136="Oui",'Données à saisir'!I147,'Données à saisir'!D147)</f>
        <v>17500</v>
      </c>
      <c r="AO40" s="315" t="s">
        <v>41</v>
      </c>
      <c r="AP40" s="125"/>
      <c r="AQ40" s="309" t="s">
        <v>42</v>
      </c>
      <c r="AR40" s="134"/>
      <c r="AS40" s="309" t="s">
        <v>43</v>
      </c>
      <c r="AT40" s="83"/>
      <c r="BO40" s="63" t="s">
        <v>238</v>
      </c>
      <c r="BP40" s="64"/>
      <c r="BQ40" s="64"/>
      <c r="BR40" s="65">
        <f>BR39</f>
        <v>2799.0750632626587</v>
      </c>
      <c r="BS40" s="65">
        <f>BS38+BS39</f>
        <v>2159.1501265253128</v>
      </c>
      <c r="BT40" s="65">
        <f>BT38+BT39</f>
        <v>1959.2251897879669</v>
      </c>
      <c r="BU40" s="65">
        <f>BU38+BU39</f>
        <v>2545.300253050621</v>
      </c>
      <c r="BV40" s="66">
        <f t="shared" ref="BV40:CE40" si="34">BV38+BV39</f>
        <v>5007.3753163132751</v>
      </c>
      <c r="BY40" s="197">
        <f t="shared" si="34"/>
        <v>8371.4503795759301</v>
      </c>
      <c r="BZ40" s="65">
        <f t="shared" si="34"/>
        <v>11735.525442838585</v>
      </c>
      <c r="CA40" s="65">
        <f t="shared" si="34"/>
        <v>12131.60050610124</v>
      </c>
      <c r="CB40" s="65">
        <f t="shared" si="34"/>
        <v>15374.675569363895</v>
      </c>
      <c r="CC40" s="65">
        <f t="shared" si="34"/>
        <v>15688.25063262655</v>
      </c>
      <c r="CD40" s="65">
        <f t="shared" si="34"/>
        <v>19052.325695889205</v>
      </c>
      <c r="CE40" s="131">
        <f t="shared" si="34"/>
        <v>21898.40075915186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52000</v>
      </c>
      <c r="T41" s="35"/>
      <c r="X41" s="234"/>
      <c r="Y41" s="234"/>
      <c r="Z41" s="235"/>
      <c r="AC41" s="63" t="s">
        <v>128</v>
      </c>
      <c r="AD41" s="64"/>
      <c r="AE41" s="64"/>
      <c r="AF41" s="64"/>
      <c r="AG41" s="65">
        <f>AG35-SUM(AG36:AG40)</f>
        <v>26593.5</v>
      </c>
      <c r="AH41" s="65">
        <f t="shared" ref="AH41:AI41" si="35">AH35-SUM(AH36:AH40)</f>
        <v>20015.324999999997</v>
      </c>
      <c r="AI41" s="66">
        <f t="shared" si="35"/>
        <v>23537.857499999984</v>
      </c>
      <c r="AL41" s="50"/>
      <c r="AO41" s="316"/>
      <c r="AP41" s="126"/>
      <c r="AQ41" s="310"/>
      <c r="AR41" s="135"/>
      <c r="AS41" s="310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339" t="str">
        <f>IF(ISBLANK('Données à saisir'!B9),"",('Données à saisir'!B9))</f>
        <v/>
      </c>
      <c r="D42" s="339"/>
      <c r="E42" s="339"/>
      <c r="F42" s="339"/>
      <c r="G42" s="339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300</v>
      </c>
      <c r="Y42" s="113">
        <f>'Données à saisir'!D50</f>
        <v>300</v>
      </c>
      <c r="Z42" s="236">
        <f>'Données à saisir'!E50</f>
        <v>300</v>
      </c>
      <c r="AC42" s="38" t="s">
        <v>132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1266.527812276719</v>
      </c>
      <c r="AH42" s="57">
        <f>'Données à saisir'!C90+SUM('Données à saisir'!H70:H72)</f>
        <v>1316.527812276719</v>
      </c>
      <c r="AI42" s="53">
        <f>'Données à saisir'!D90+SUM('Données à saisir'!I70:I72)</f>
        <v>1366.527812276719</v>
      </c>
      <c r="AL42" s="63" t="s">
        <v>160</v>
      </c>
      <c r="AM42" s="64"/>
      <c r="AN42" s="64"/>
      <c r="AO42" s="131">
        <f>AO27</f>
        <v>19436.92635956479</v>
      </c>
      <c r="AP42" s="136"/>
      <c r="AQ42" s="131">
        <f>AQ27</f>
        <v>13802.977609564787</v>
      </c>
      <c r="AR42" s="136"/>
      <c r="AS42" s="128">
        <f>AS27</f>
        <v>16754.630234564775</v>
      </c>
      <c r="AT42" s="66"/>
      <c r="AW42" s="161"/>
      <c r="AX42" s="161"/>
      <c r="AZ42" s="172"/>
      <c r="BA42" s="313"/>
      <c r="BB42" s="313"/>
      <c r="BC42" s="31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340" t="str">
        <f>IF(ISBLANK('Données à saisir'!B10),"",('Données à saisir'!B10))</f>
        <v/>
      </c>
      <c r="D43" s="340"/>
      <c r="E43" s="340"/>
      <c r="F43" s="340"/>
      <c r="G43" s="340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2460</v>
      </c>
      <c r="AH43" s="57">
        <f>'Données à saisir'!D39</f>
        <v>2460</v>
      </c>
      <c r="AI43" s="53">
        <f>'Données à saisir'!E39</f>
        <v>2460</v>
      </c>
      <c r="AL43" s="122" t="s">
        <v>161</v>
      </c>
      <c r="AM43" s="1"/>
      <c r="AN43" s="1"/>
      <c r="AO43" s="132">
        <f>AO22</f>
        <v>2460</v>
      </c>
      <c r="AP43" s="137"/>
      <c r="AQ43" s="132">
        <f>AQ22</f>
        <v>2460</v>
      </c>
      <c r="AR43" s="137"/>
      <c r="AS43" s="127">
        <f>AS22</f>
        <v>2460</v>
      </c>
      <c r="AT43" s="120"/>
      <c r="AW43" s="1"/>
      <c r="BA43" s="313"/>
      <c r="BB43" s="313"/>
      <c r="BC43" s="31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340" t="str">
        <f>IF(ISBLANK('Données à saisir'!B11),"",('Données à saisir'!B11))</f>
        <v/>
      </c>
      <c r="D44" s="340"/>
      <c r="E44" s="340"/>
      <c r="F44" s="340"/>
      <c r="G44" s="340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600</v>
      </c>
      <c r="Y44" s="113">
        <f>'Données à saisir'!D52</f>
        <v>600</v>
      </c>
      <c r="Z44" s="236">
        <f>'Données à saisir'!E52</f>
        <v>600</v>
      </c>
      <c r="AC44" s="63" t="s">
        <v>129</v>
      </c>
      <c r="AD44" s="64"/>
      <c r="AE44" s="64"/>
      <c r="AF44" s="64"/>
      <c r="AG44" s="65">
        <f>AG41-AG42-AG43</f>
        <v>22866.972187723281</v>
      </c>
      <c r="AH44" s="65">
        <f t="shared" ref="AH44:AI44" si="37">AH41-AH42-AH43</f>
        <v>16238.797187723278</v>
      </c>
      <c r="AI44" s="66">
        <f t="shared" si="37"/>
        <v>19711.329687723264</v>
      </c>
      <c r="AL44" s="63" t="s">
        <v>158</v>
      </c>
      <c r="AM44" s="64"/>
      <c r="AN44" s="64"/>
      <c r="AO44" s="131">
        <f>AO42+AO43</f>
        <v>21896.92635956479</v>
      </c>
      <c r="AP44" s="136"/>
      <c r="AQ44" s="131">
        <f t="shared" ref="AQ44:AS44" si="38">AQ42+AQ43</f>
        <v>16262.977609564787</v>
      </c>
      <c r="AR44" s="136"/>
      <c r="AS44" s="128">
        <f t="shared" si="38"/>
        <v>19214.630234564775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800</v>
      </c>
      <c r="Y45" s="113">
        <f>'Données à saisir'!D53</f>
        <v>800</v>
      </c>
      <c r="Z45" s="236">
        <f>'Données à saisir'!E53</f>
        <v>800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3430.045828158492</v>
      </c>
      <c r="AH45" s="57">
        <f>IF(AC45="Impôt sur les sociétés",IF(AH44&lt;0,0,IF(AH44&gt;38120,38120*0.15+(AH44-38120)*25%,AH44*0.15)),"")</f>
        <v>2435.8195781584914</v>
      </c>
      <c r="AI45" s="53">
        <f>+IF(AC45="Impôt sur les sociétés",IF(AI44&lt;0,0,IF(AI44&gt;38120,38120*0.15+(AI44-38120)*25%,AI44*0.15)),"")</f>
        <v>2956.6994531584896</v>
      </c>
      <c r="AL45" s="123" t="s">
        <v>162</v>
      </c>
      <c r="AO45" s="132">
        <f>IF(ISERROR(SUM('Données à saisir'!J70:J72)),0,SUM('Données à saisir'!J70:J72))</f>
        <v>7428.5714285714284</v>
      </c>
      <c r="AP45" s="137"/>
      <c r="AQ45" s="132">
        <f>SUM('Données à saisir'!K70:K72)</f>
        <v>7428.5714285714284</v>
      </c>
      <c r="AR45" s="137"/>
      <c r="AS45" s="127">
        <f>SUM('Données à saisir'!L70:L72)</f>
        <v>7428.5714285714284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300</v>
      </c>
      <c r="Y46" s="113">
        <f>'Données à saisir'!D54</f>
        <v>300</v>
      </c>
      <c r="Z46" s="236">
        <f>'Données à saisir'!E54</f>
        <v>300</v>
      </c>
      <c r="AC46" s="39"/>
      <c r="AG46" s="56"/>
      <c r="AH46" s="56"/>
      <c r="AI46" s="53"/>
      <c r="AL46" s="121" t="s">
        <v>163</v>
      </c>
      <c r="AM46" s="47"/>
      <c r="AN46" s="47"/>
      <c r="AO46" s="133">
        <f>AO44-AO45</f>
        <v>14468.354930993362</v>
      </c>
      <c r="AP46" s="138"/>
      <c r="AQ46" s="133">
        <f>AQ44-AQ45</f>
        <v>8834.4061809933592</v>
      </c>
      <c r="AR46" s="138"/>
      <c r="AS46" s="129">
        <f>AS44-AS45</f>
        <v>11786.058805993347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336">
        <f ca="1">TODAY()</f>
        <v>44999</v>
      </c>
      <c r="D47" s="337"/>
      <c r="E47" s="337"/>
      <c r="F47" s="337"/>
      <c r="G47" s="337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253</v>
      </c>
      <c r="AD47" s="64"/>
      <c r="AE47" s="64"/>
      <c r="AF47" s="64"/>
      <c r="AG47" s="65">
        <f>AG44-SUM(AG45)</f>
        <v>19436.92635956479</v>
      </c>
      <c r="AH47" s="65">
        <f t="shared" ref="AH47:AI47" si="39">AH44-SUM(AH45)</f>
        <v>13802.977609564787</v>
      </c>
      <c r="AI47" s="66">
        <f t="shared" si="39"/>
        <v>16754.630234564775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106300</v>
      </c>
      <c r="T48" s="109" t="s">
        <v>149</v>
      </c>
      <c r="U48" s="108"/>
      <c r="V48" s="108"/>
      <c r="W48" s="108"/>
      <c r="X48" s="112">
        <f>SUM(X31,X40)</f>
        <v>2460</v>
      </c>
      <c r="Y48" s="112">
        <f>SUM(Y31,Y40)</f>
        <v>2460</v>
      </c>
      <c r="Z48" s="118">
        <f>SUM(Z31,Z40)</f>
        <v>2460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270</v>
      </c>
      <c r="H49" s="3">
        <v>1</v>
      </c>
      <c r="K49" s="207" t="s">
        <v>270</v>
      </c>
      <c r="Q49" s="3">
        <v>2</v>
      </c>
      <c r="T49" s="207" t="s">
        <v>270</v>
      </c>
      <c r="Z49" s="3">
        <v>3</v>
      </c>
      <c r="AB49" s="207"/>
      <c r="AC49" s="207" t="s">
        <v>270</v>
      </c>
      <c r="AI49" s="3">
        <v>4</v>
      </c>
      <c r="AL49" s="207" t="s">
        <v>270</v>
      </c>
      <c r="AT49" s="3">
        <v>5</v>
      </c>
      <c r="AW49" s="207" t="s">
        <v>270</v>
      </c>
      <c r="BC49" s="3">
        <v>6</v>
      </c>
      <c r="BF49" s="207" t="s">
        <v>270</v>
      </c>
      <c r="BL49" s="3">
        <v>7</v>
      </c>
      <c r="BO49" s="207" t="s">
        <v>270</v>
      </c>
      <c r="BV49" s="3">
        <v>8</v>
      </c>
      <c r="BY49" s="207" t="s">
        <v>270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42816.972187723281</v>
      </c>
      <c r="AH52" s="90">
        <f>AH35-SUM(AH36:AH38,AH42:AH43)</f>
        <v>53638.797187723278</v>
      </c>
      <c r="AI52" s="90">
        <f>AI35-SUM(AI36:AI38,AI42:AI43)</f>
        <v>62211.329687723264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271</v>
      </c>
    </row>
    <row r="7" spans="1:9" ht="9" customHeight="1" x14ac:dyDescent="0.3">
      <c r="A7" s="251"/>
    </row>
    <row r="8" spans="1:9" ht="15.75" x14ac:dyDescent="0.25">
      <c r="B8" s="269" t="s">
        <v>272</v>
      </c>
    </row>
    <row r="9" spans="1:9" x14ac:dyDescent="0.25">
      <c r="B9" s="1"/>
      <c r="C9" s="341" t="s">
        <v>276</v>
      </c>
      <c r="D9" s="341"/>
      <c r="E9" s="341"/>
      <c r="F9" s="341"/>
      <c r="G9" s="341"/>
      <c r="H9" s="341"/>
      <c r="I9" s="254" t="s">
        <v>263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294</v>
      </c>
    </row>
    <row r="13" spans="1:9" ht="11.95" customHeight="1" x14ac:dyDescent="0.25"/>
    <row r="14" spans="1:9" ht="13.5" customHeight="1" x14ac:dyDescent="0.3">
      <c r="B14" s="269" t="s">
        <v>296</v>
      </c>
    </row>
    <row r="15" spans="1:9" ht="16.45" customHeight="1" x14ac:dyDescent="0.25">
      <c r="C15" s="341" t="s">
        <v>295</v>
      </c>
      <c r="D15" s="341"/>
      <c r="E15" s="341"/>
      <c r="F15" s="341"/>
      <c r="G15" s="341"/>
      <c r="H15" s="341"/>
      <c r="I15" s="254" t="s">
        <v>263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273</v>
      </c>
    </row>
    <row r="20" spans="1:1" ht="15.1" x14ac:dyDescent="0.25">
      <c r="A20" s="267" t="s">
        <v>275</v>
      </c>
    </row>
    <row r="21" spans="1:1" x14ac:dyDescent="0.25">
      <c r="A21" s="268" t="s">
        <v>274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2023-03-14T13:26:57Z</dcterms:modified>
</cp:coreProperties>
</file>