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3FEBCCAE-E536-4647-B36E-90CD22B02818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 s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G54" i="1" s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J53" i="1" s="1"/>
  <c r="K53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<sst xmlns="http://schemas.openxmlformats.org/spreadsheetml/2006/main" count="453" uniqueCount="304">
  <si>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</si>
  <si>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</si>
  <si>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</si>
  <si>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</si>
  <si>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</si>
  <si>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</si>
  <si>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</si>
  <si>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</si>
  <si>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</si>
  <si>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</si>
  <si>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</si>
  <si>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</si>
  <si>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</si>
  <si>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</si>
  <si>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</si>
  <si>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</si>
  <si>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</si>
  <si>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</si>
  <si>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</si>
  <si>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</si>
  <si>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</si>
  <si>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</si>
  <si>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</si>
  <si>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</si>
  <si>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</si>
  <si>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</si>
  <si>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</si>
  <si>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</si>
  <si>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</si>
  <si>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</si>
  <si>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</si>
  <si>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</si>
  <si>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</si>
  <si>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</si>
  <si>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</si>
  <si>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</si>
  <si>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</si>
  <si>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</si>
  <si>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</si>
  <si>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</si>
  <si>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</si>
  <si>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</si>
  <si>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</si>
  <si>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</si>
  <si>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</si>
  <si>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</si>
  <si>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</si>
  <si>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</si>
  <si>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</si>
  <si>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</si>
  <si>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</si>
  <si>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</si>
  <si>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</si>
  <si>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</si>
  <si>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</si>
  <si>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</si>
  <si>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</si>
  <si>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</si>
  <si>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</si>
  <si>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</si>
  <si>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</si>
  <si>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</si>
  <si>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</si>
  <si>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</si>
  <si>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</si>
  <si>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</si>
  <si>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</si>
  <si>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</si>
  <si>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</si>
  <si>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</si>
  <si>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</si>
  <si>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</si>
  <si>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</si>
  <si>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</si>
  <si>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</si>
  <si>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</si>
  <si>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</si>
  <si>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</si>
  <si>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</si>
  <si>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</si>
  <si>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</si>
  <si>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</si>
  <si>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</si>
  <si>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</si>
  <si>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</si>
  <si>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</si>
  <si>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</si>
  <si>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</si>
  <si>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</si>
  <si>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</si>
  <si>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</si>
  <si>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</si>
  <si>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</si>
  <si>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</si>
  <si>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</si>
  <si>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</si>
  <si>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</si>
  <si>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</si>
  <si>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</si>
  <si>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</si>
  <si>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</si>
  <si>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</si>
  <si>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</si>
  <si>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</si>
  <si>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</si>
  <si>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</si>
  <si>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</si>
  <si>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</si>
  <si>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</si>
  <si>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</si>
  <si>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</si>
  <si>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</si>
  <si>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</si>
  <si>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</si>
  <si>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</si>
  <si>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</si>
  <si>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</si>
  <si>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</si>
  <si>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</si>
  <si>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</si>
  <si>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</si>
  <si>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</si>
  <si>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</si>
  <si>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</si>
  <si>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</si>
  <si>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</si>
  <si>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</si>
  <si>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</si>
  <si>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</si>
  <si>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</si>
  <si>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</si>
  <si>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</si>
  <si>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</si>
  <si>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</si>
  <si>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</si>
  <si>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</si>
  <si>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</si>
  <si>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</si>
  <si>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</si>
  <si>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</si>
  <si>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</si>
  <si>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</si>
  <si>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</si>
  <si>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</si>
  <si>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</si>
  <si>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</si>
  <si>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</si>
  <si>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</si>
  <si>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</si>
  <si>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</si>
  <si>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</si>
  <si>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</si>
  <si>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</si>
  <si>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</si>
  <si>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</si>
  <si>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</si>
  <si>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</si>
  <si>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</si>
  <si>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</si>
  <si>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</si>
  <si>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</si>
  <si>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</si>
  <si>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</si>
  <si>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</si>
  <si>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</si>
  <si>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</si>
  <si>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</si>
  <si>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</si>
  <si>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</si>
  <si>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</si>
  <si>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</si>
  <si>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</si>
  <si>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</si>
  <si>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</si>
  <si>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</si>
  <si>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</si>
  <si>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</si>
  <si>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</si>
  <si>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</si>
  <si>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</si>
  <si>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</si>
  <si>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</si>
  <si>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</si>
  <si>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</si>
  <si>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</si>
  <si>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</si>
  <si>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</si>
  <si>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</si>
  <si>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</si>
  <si>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</si>
  <si>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</si>
  <si>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</si>
  <si>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</si>
  <si>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</si>
  <si>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</si>
  <si>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</si>
  <si>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</si>
  <si>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</si>
  <si>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</si>
  <si>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</si>
  <si>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</si>
  <si>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</si>
  <si>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</si>
  <si>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</si>
  <si>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</si>
  <si>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</si>
  <si>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</si>
  <si>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</si>
  <si>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</si>
  <si>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</si>
  <si>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</si>
  <si>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</si>
  <si>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</si>
  <si>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</si>
  <si>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</si>
  <si>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</si>
  <si>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</si>
  <si>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</si>
  <si>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</si>
  <si>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</si>
  <si>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</si>
  <si>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</si>
  <si>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</si>
  <si>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</si>
  <si>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</si>
  <si>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</si>
  <si>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</si>
  <si>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</si>
  <si>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</si>
  <si>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</si>
  <si>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</si>
  <si>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</si>
  <si>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</si>
  <si>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</si>
  <si>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</si>
  <si>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</si>
  <si>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</si>
  <si>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</si>
  <si>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</si>
  <si>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</si>
  <si>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</si>
  <si>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</si>
  <si>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</si>
  <si>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</si>
  <si>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</si>
  <si>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</si>
  <si>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</si>
  <si>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</si>
  <si>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</si>
  <si>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</si>
  <si>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</si>
  <si>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</si>
  <si>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</si>
  <si>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</si>
  <si>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</si>
  <si>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</si>
  <si>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</si>
  <si>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</si>
  <si>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</si>
  <si>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</si>
  <si>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</si>
  <si>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</si>
  <si>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</si>
  <si>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</si>
  <si>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</si>
  <si>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</si>
  <si>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</si>
  <si>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</si>
  <si>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</si>
  <si>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</si>
  <si>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</si>
  <si>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</si>
  <si>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</si>
  <si>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</si>
  <si>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</si>
  <si>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</si>
  <si>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</si>
  <si>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</si>
  <si>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</si>
  <si>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</si>
  <si>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</si>
  <si>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</si>
  <si>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</si>
  <si>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</si>
  <si>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</si>
  <si>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</si>
  <si>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</si>
  <si>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</si>
  <si>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</si>
  <si>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</si>
  <si>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</si>
  <si>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</si>
  <si>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</si>
  <si>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</si>
  <si>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</si>
  <si>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</si>
  <si>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</si>
  <si>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</si>
  <si>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</si>
  <si>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</si>
  <si>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</si>
  <si>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</si>
  <si>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Epicerie</t>
  </si>
  <si>
    <t>Déchetterie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</si>
</sst>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302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65000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2500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800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2500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7000</v>
      </c>
      <c r="C29" s="5" t="s">
        <v>12</v>
      </c>
    </row>
    <row r="30" spans="1:8" x14ac:dyDescent="0.25">
      <c r="A30" s="276" t="s">
        <v>39</v>
      </c>
      <c r="B30" s="255">
        <v>3000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40000</v>
      </c>
      <c r="C32" s="5" t="s">
        <v>17</v>
      </c>
    </row>
    <row r="33" spans="1:13" ht="15.25" thickBot="1" x14ac:dyDescent="0.3">
      <c r="A33" s="276" t="s">
        <v>40</v>
      </c>
      <c r="B33" s="255">
        <v>12000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137900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7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18400</v>
      </c>
      <c r="C39" s="116">
        <f t="shared" ref="C39:C54" si="0">IF(ISERROR($B39/$C$36),0,$B39/$C$36)</f>
        <v>2628.5714285714284</v>
      </c>
      <c r="D39" s="116">
        <f>IF($B39&gt;(SUM(C39:$C39)),IF(ISERROR($B39/$C$36),"",$B39/$C$36),0)</f>
        <v>2628.5714285714284</v>
      </c>
      <c r="E39" s="116">
        <f>IF($B39&gt;(SUM($C39:D39)),IF(ISERROR($B39/$C$36),"",$B39/$C$36),0)</f>
        <v>2628.5714285714284</v>
      </c>
      <c r="F39" s="116">
        <f>IF($B39&gt;(SUM($C39:E39)),IF(ISERROR($B39/$C$36),"",$B39/$C$36),0)</f>
        <v>2628.5714285714284</v>
      </c>
      <c r="G39" s="116">
        <f>IF($B39&gt;(SUM($C39:F39)),IF(ISERROR($B39/$C$36),"",$B39/$C$36),0)</f>
        <v>2628.5714285714284</v>
      </c>
      <c r="H39" s="116">
        <f>IF($B39&gt;(SUM($C39:G39)),IF(ISERROR($B39/$C$36),"",$B39/$C$36),0)</f>
        <v>2628.5714285714284</v>
      </c>
      <c r="I39" s="116">
        <f>IF($B39&gt;(SUM($C39:H39)),IF(ISERROR($B39/$C$36),"",$B39/$C$36),0)</f>
        <v>2628.5714285714284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18399.999999999996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114.28571428571429</v>
      </c>
      <c r="D40" s="75">
        <f>IF($B40&gt;(SUM(C40:$C40)),IF(ISERROR($B40/$C$36),"",$B40/$C$36),0)</f>
        <v>114.28571428571429</v>
      </c>
      <c r="E40" s="75">
        <f>IF($B40&gt;(SUM($C40:D40)),IF(ISERROR($B40/$C$36),"",$B40/$C$36),0)</f>
        <v>114.28571428571429</v>
      </c>
      <c r="F40" s="75">
        <f>IF($B40&gt;(SUM($C40:E40)),IF(ISERROR($B40/$C$36),"",$B40/$C$36),0)</f>
        <v>114.28571428571429</v>
      </c>
      <c r="G40" s="75">
        <f>IF($B40&gt;(SUM($C40:F40)),IF(ISERROR($B40/$C$36),"",$B40/$C$36),0)</f>
        <v>114.28571428571429</v>
      </c>
      <c r="H40" s="75">
        <f>IF($B40&gt;(SUM($C40:G40)),IF(ISERROR($B40/$C$36),"",$B40/$C$36),0)</f>
        <v>114.28571428571429</v>
      </c>
      <c r="I40" s="75">
        <f>IF($B40&gt;(SUM($C40:H40)),IF(ISERROR($B40/$C$36),"",$B40/$C$36),0)</f>
        <v>114.28571428571429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800.00000000000011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114.28571428571429</v>
      </c>
      <c r="D48" s="75">
        <f>IF($B48&gt;(SUM(C48:$C48)),IF(ISERROR($B48/$C$36),"",$B48/$C$36),0)</f>
        <v>114.28571428571429</v>
      </c>
      <c r="E48" s="75">
        <f>IF($B48&gt;(SUM($C48:D48)),IF(ISERROR($B48/$C$36),"",$B48/$C$36),0)</f>
        <v>114.28571428571429</v>
      </c>
      <c r="F48" s="75">
        <f>IF($B48&gt;(SUM($C48:E48)),IF(ISERROR($B48/$C$36),"",$B48/$C$36),0)</f>
        <v>114.28571428571429</v>
      </c>
      <c r="G48" s="75">
        <f>IF($B48&gt;(SUM($C48:F48)),IF(ISERROR($B48/$C$36),"",$B48/$C$36),0)</f>
        <v>114.28571428571429</v>
      </c>
      <c r="H48" s="75">
        <f>IF($B48&gt;(SUM($C48:G48)),IF(ISERROR($B48/$C$36),"",$B48/$C$36),0)</f>
        <v>114.28571428571429</v>
      </c>
      <c r="I48" s="75">
        <f>IF($B48&gt;(SUM($C48:H48)),IF(ISERROR($B48/$C$36),"",$B48/$C$36),0)</f>
        <v>114.28571428571429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800.00000000000011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114.28571428571429</v>
      </c>
      <c r="D49" s="75">
        <f>IF($B49&gt;(SUM(C49:$C49)),IF(ISERROR($B49/$C$36),"",$B49/$C$36),0)</f>
        <v>114.28571428571429</v>
      </c>
      <c r="E49" s="75">
        <f>IF($B49&gt;(SUM($C49:D49)),IF(ISERROR($B49/$C$36),"",$B49/$C$36),0)</f>
        <v>114.28571428571429</v>
      </c>
      <c r="F49" s="75">
        <f>IF($B49&gt;(SUM($C49:E49)),IF(ISERROR($B49/$C$36),"",$B49/$C$36),0)</f>
        <v>114.28571428571429</v>
      </c>
      <c r="G49" s="75">
        <f>IF($B49&gt;(SUM($C49:F49)),IF(ISERROR($B49/$C$36),"",$B49/$C$36),0)</f>
        <v>114.28571428571429</v>
      </c>
      <c r="H49" s="75">
        <f>IF($B49&gt;(SUM($C49:G49)),IF(ISERROR($B49/$C$36),"",$B49/$C$36),0)</f>
        <v>114.28571428571429</v>
      </c>
      <c r="I49" s="75">
        <f>IF($B49&gt;(SUM($C49:H49)),IF(ISERROR($B49/$C$36),"",$B49/$C$36),0)</f>
        <v>114.28571428571429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800.00000000000011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357.14285714285717</v>
      </c>
      <c r="D50" s="75">
        <f>IF($B50&gt;(SUM(C50:$C50)),IF(ISERROR($B50/$C$36),"",$B50/$C$36),0)</f>
        <v>357.14285714285717</v>
      </c>
      <c r="E50" s="75">
        <f>IF($B50&gt;(SUM($C50:D50)),IF(ISERROR($B50/$C$36),"",$B50/$C$36),0)</f>
        <v>357.14285714285717</v>
      </c>
      <c r="F50" s="75">
        <f>IF($B50&gt;(SUM($C50:E50)),IF(ISERROR($B50/$C$36),"",$B50/$C$36),0)</f>
        <v>357.14285714285717</v>
      </c>
      <c r="G50" s="75">
        <f>IF($B50&gt;(SUM($C50:F50)),IF(ISERROR($B50/$C$36),"",$B50/$C$36),0)</f>
        <v>357.14285714285717</v>
      </c>
      <c r="H50" s="75">
        <f>IF($B50&gt;(SUM($C50:G50)),IF(ISERROR($B50/$C$36),"",$B50/$C$36),0)</f>
        <v>357.14285714285717</v>
      </c>
      <c r="I50" s="75">
        <f>IF($B50&gt;(SUM($C50:H50)),IF(ISERROR($B50/$C$36),"",$B50/$C$36),0)</f>
        <v>357.14285714285717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2500.0000000000005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7000</v>
      </c>
      <c r="C52" s="75">
        <f t="shared" si="0"/>
        <v>1000</v>
      </c>
      <c r="D52" s="75">
        <f>IF($B52&gt;(SUM(C52:$C52)),IF(ISERROR($B52/$C$36),"",$B52/$C$36),0)</f>
        <v>1000</v>
      </c>
      <c r="E52" s="75">
        <f>IF($B52&gt;(SUM($C52:D52)),IF(ISERROR($B52/$C$36),"",$B52/$C$36),0)</f>
        <v>1000</v>
      </c>
      <c r="F52" s="75">
        <f>IF($B52&gt;(SUM($C52:E52)),IF(ISERROR($B52/$C$36),"",$B52/$C$36),0)</f>
        <v>1000</v>
      </c>
      <c r="G52" s="75">
        <f>IF($B52&gt;(SUM($C52:F52)),IF(ISERROR($B52/$C$36),"",$B52/$C$36),0)</f>
        <v>1000</v>
      </c>
      <c r="H52" s="75">
        <f>IF($B52&gt;(SUM($C52:G52)),IF(ISERROR($B52/$C$36),"",$B52/$C$36),0)</f>
        <v>1000</v>
      </c>
      <c r="I52" s="75">
        <f>IF($B52&gt;(SUM($C52:H52)),IF(ISERROR($B52/$C$36),"",$B52/$C$36),0)</f>
        <v>1000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7000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3000</v>
      </c>
      <c r="C53" s="75">
        <f t="shared" si="0"/>
        <v>428.57142857142856</v>
      </c>
      <c r="D53" s="75">
        <f>IF($B53&gt;(SUM(C53:$C53)),IF(ISERROR($B53/$C$36),"",$B53/$C$36),0)</f>
        <v>428.57142857142856</v>
      </c>
      <c r="E53" s="75">
        <f>IF($B53&gt;(SUM($C53:D53)),IF(ISERROR($B53/$C$36),"",$B53/$C$36),0)</f>
        <v>428.57142857142856</v>
      </c>
      <c r="F53" s="75">
        <f>IF($B53&gt;(SUM($C53:E53)),IF(ISERROR($B53/$C$36),"",$B53/$C$36),0)</f>
        <v>428.57142857142856</v>
      </c>
      <c r="G53" s="75">
        <f>IF($B53&gt;(SUM($C53:F53)),IF(ISERROR($B53/$C$36),"",$B53/$C$36),0)</f>
        <v>428.57142857142856</v>
      </c>
      <c r="H53" s="75">
        <f>IF($B53&gt;(SUM($C53:G53)),IF(ISERROR($B53/$C$36),"",$B53/$C$36),0)</f>
        <v>428.57142857142856</v>
      </c>
      <c r="I53" s="75">
        <f>IF($B53&gt;(SUM($C53:H53)),IF(ISERROR($B53/$C$36),"",$B53/$C$36),0)</f>
        <v>428.57142857142856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2999.9999999999995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285.71428571428572</v>
      </c>
      <c r="D54" s="75">
        <f>IF($B54&gt;(SUM(C54:$C54)),IF(ISERROR($B54/$C$36),"",$B54/$C$36),0)</f>
        <v>285.71428571428572</v>
      </c>
      <c r="E54" s="75">
        <f>IF($B54&gt;(SUM($C54:D54)),IF(ISERROR($B54/$C$36),"",$B54/$C$36),0)</f>
        <v>285.71428571428572</v>
      </c>
      <c r="F54" s="75">
        <f>IF($B54&gt;(SUM($C54:E54)),IF(ISERROR($B54/$C$36),"",$B54/$C$36),0)</f>
        <v>285.71428571428572</v>
      </c>
      <c r="G54" s="75">
        <f>IF($B54&gt;(SUM($C54:F54)),IF(ISERROR($B54/$C$36),"",$B54/$C$36),0)</f>
        <v>285.71428571428572</v>
      </c>
      <c r="H54" s="75">
        <f>IF($B54&gt;(SUM($C54:G54)),IF(ISERROR($B54/$C$36),"",$B54/$C$36),0)</f>
        <v>285.71428571428572</v>
      </c>
      <c r="I54" s="75">
        <f>IF($B54&gt;(SUM($C54:H54)),IF(ISERROR($B54/$C$36),"",$B54/$C$36),0)</f>
        <v>285.71428571428572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2000.0000000000002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87900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50000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137900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660.6650032730887</v>
      </c>
      <c r="C70" s="79">
        <f>B70*D61</f>
        <v>55495.860274939449</v>
      </c>
      <c r="D70" s="82">
        <f>IF(ISERROR(B61/D61),0,B61/D61)</f>
        <v>595.23809523809518</v>
      </c>
      <c r="E70" s="152">
        <f>B70-D70</f>
        <v>65.426908034993517</v>
      </c>
      <c r="F70" s="80">
        <f>E70*D61</f>
        <v>5495.8602749394558</v>
      </c>
      <c r="G70" s="153">
        <f>IF($D61&gt;12,$E70*12,$E70*$D61)</f>
        <v>785.1228964199222</v>
      </c>
      <c r="H70" s="153">
        <f>IF($D61-12&lt;0,0,IF($D61&gt;24,$E70*12,($D61-12)*$E70))</f>
        <v>785.1228964199222</v>
      </c>
      <c r="I70" s="153">
        <f>IF($D61-24&lt;0,0,IF($D61&gt;36,$E70*12,($D61-24)*$E70))</f>
        <v>785.1228964199222</v>
      </c>
      <c r="J70" s="153">
        <f>IF($D61&gt;12,$D70*12,$D70*$D61)</f>
        <v>7142.8571428571422</v>
      </c>
      <c r="K70" s="153">
        <f>IF($D61-12&lt;0,0,IF($D61&gt;24,$D70*12,($D61-12)*$D70))</f>
        <v>7142.8571428571422</v>
      </c>
      <c r="L70" s="153">
        <f>IF($D61-24&lt;0,0,IF($D61&gt;36,$D70*12,($D61-24)*$D70))</f>
        <v>7142.8571428571422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785.1228964199222</v>
      </c>
      <c r="J73" s="203">
        <f t="shared" si="17"/>
        <v>7142.8571428571422</v>
      </c>
      <c r="K73" s="203">
        <f t="shared" si="17"/>
        <v>7142.8571428571422</v>
      </c>
      <c r="L73" s="203">
        <f t="shared" si="17"/>
        <v>7142.8571428571422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250</v>
      </c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1600</v>
      </c>
      <c r="D80" s="261">
        <v>1700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4500</v>
      </c>
      <c r="C82" s="260">
        <v>4700</v>
      </c>
      <c r="D82" s="261">
        <v>5000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3800</v>
      </c>
      <c r="D84" s="261">
        <v>4100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500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2000</v>
      </c>
      <c r="C86" s="260">
        <v>2000</v>
      </c>
      <c r="D86" s="261">
        <v>2000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4000</v>
      </c>
      <c r="D87" s="261">
        <v>4000</v>
      </c>
      <c r="E87" s="5"/>
      <c r="G87" s="233"/>
      <c r="H87" s="233"/>
    </row>
    <row r="88" spans="1:8" x14ac:dyDescent="0.25">
      <c r="A88" s="276" t="s">
        <v>29</v>
      </c>
      <c r="B88" s="259">
        <v>35000</v>
      </c>
      <c r="C88" s="260">
        <v>36000</v>
      </c>
      <c r="D88" s="261">
        <v>37000</v>
      </c>
      <c r="E88" s="5"/>
    </row>
    <row r="89" spans="1:8" x14ac:dyDescent="0.25">
      <c r="A89" s="276" t="s">
        <v>30</v>
      </c>
      <c r="B89" s="259">
        <v>3000</v>
      </c>
      <c r="C89" s="260">
        <v>3100</v>
      </c>
      <c r="D89" s="261">
        <v>3200</v>
      </c>
      <c r="E89" s="5"/>
    </row>
    <row r="90" spans="1:8" x14ac:dyDescent="0.25">
      <c r="A90" s="276" t="s">
        <v>31</v>
      </c>
      <c r="B90" s="259">
        <v>1500</v>
      </c>
      <c r="C90" s="260">
        <v>1600</v>
      </c>
      <c r="D90" s="261">
        <v>1700</v>
      </c>
      <c r="E90" s="5"/>
    </row>
    <row r="91" spans="1:8" x14ac:dyDescent="0.25">
      <c r="A91" s="276" t="s">
        <v>45</v>
      </c>
      <c r="B91" s="259"/>
      <c r="C91" s="260">
        <v>1300</v>
      </c>
      <c r="D91" s="261">
        <v>1400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320</v>
      </c>
      <c r="C93" s="260">
        <v>320</v>
      </c>
      <c r="D93" s="261">
        <v>320</v>
      </c>
      <c r="E93" s="89" t="s">
        <v>288</v>
      </c>
    </row>
    <row r="94" spans="1:8" x14ac:dyDescent="0.25">
      <c r="A94" s="278" t="s">
        <v>303</v>
      </c>
      <c r="B94" s="259">
        <v>450</v>
      </c>
      <c r="C94" s="260">
        <v>500</v>
      </c>
      <c r="D94" s="261">
        <v>550</v>
      </c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58970</v>
      </c>
      <c r="C97" s="10">
        <f>SUM(C77:C95)</f>
        <v>62290</v>
      </c>
      <c r="D97" s="10">
        <f>SUM(D77:D95)</f>
        <v>64510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800</v>
      </c>
      <c r="D103" s="12">
        <f>B103*C103</f>
        <v>17600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22</v>
      </c>
      <c r="C104" s="255">
        <v>1000</v>
      </c>
      <c r="D104" s="12">
        <f t="shared" ref="D104:D114" si="18">B104*C104</f>
        <v>22000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1200</v>
      </c>
      <c r="D105" s="12">
        <f t="shared" si="18"/>
        <v>26400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1400</v>
      </c>
      <c r="D106" s="12">
        <f t="shared" si="18"/>
        <v>30800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1400</v>
      </c>
      <c r="D107" s="12">
        <f t="shared" si="18"/>
        <v>30800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1700</v>
      </c>
      <c r="D108" s="12">
        <f t="shared" si="18"/>
        <v>37400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20</v>
      </c>
      <c r="C109" s="255">
        <v>1700</v>
      </c>
      <c r="D109" s="12">
        <f t="shared" si="18"/>
        <v>34000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1600</v>
      </c>
      <c r="D110" s="12">
        <f t="shared" si="18"/>
        <v>24000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22</v>
      </c>
      <c r="C111" s="255">
        <v>1800</v>
      </c>
      <c r="D111" s="12">
        <f t="shared" si="18"/>
        <v>39600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1900</v>
      </c>
      <c r="D112" s="12">
        <f t="shared" si="18"/>
        <v>41800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2000</v>
      </c>
      <c r="D113" s="12">
        <f t="shared" si="18"/>
        <v>44000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15</v>
      </c>
      <c r="C114" s="255">
        <v>2000</v>
      </c>
      <c r="D114" s="12">
        <f t="shared" si="18"/>
        <v>30000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378400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0.73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35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9000</v>
      </c>
      <c r="C133" s="260">
        <v>9200</v>
      </c>
      <c r="D133" s="261">
        <v>9400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20000</v>
      </c>
      <c r="D134" s="261">
        <v>28000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6480</v>
      </c>
      <c r="C139" s="73">
        <f>C133*0.72</f>
        <v>6624</v>
      </c>
      <c r="D139" s="73">
        <f>D133*0.72</f>
        <v>6768</v>
      </c>
      <c r="F139" t="s">
        <v>90</v>
      </c>
      <c r="G139" s="245">
        <f>B133*0.72</f>
        <v>6480</v>
      </c>
      <c r="H139" s="246">
        <f>C133*0.72</f>
        <v>6624</v>
      </c>
      <c r="I139" s="73">
        <f>D133*0.72</f>
        <v>6768</v>
      </c>
    </row>
    <row r="140" spans="1:9" ht="15.1" hidden="1" customHeight="1" x14ac:dyDescent="0.25">
      <c r="A140" t="s">
        <v>1</v>
      </c>
      <c r="B140" s="71">
        <f>+'Plan financier à imprimer'!AG11*12.6%</f>
        <v>47678.400000000001</v>
      </c>
      <c r="C140" s="71">
        <f>+'Plan financier à imprimer'!AH11*12.6%</f>
        <v>54830.16</v>
      </c>
      <c r="D140" s="71">
        <f>+'Plan financier à imprimer'!AI11*12.6%</f>
        <v>63054.684000000001</v>
      </c>
      <c r="E140" s="93" t="s">
        <v>132</v>
      </c>
      <c r="F140" t="s">
        <v>1</v>
      </c>
      <c r="G140" s="245">
        <f>+'Plan financier à imprimer'!AG11*6.3%</f>
        <v>23839.200000000001</v>
      </c>
      <c r="H140" s="247">
        <f>+'Plan financier à imprimer'!AH11*12.6%</f>
        <v>54830.16</v>
      </c>
      <c r="I140" s="71">
        <f>+'Plan financier à imprimer'!AI11*12.6%</f>
        <v>63054.684000000001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7291.2917025025954</v>
      </c>
      <c r="C142" s="71">
        <f>IF('Plan financier à imprimer'!AH52*30%&lt;3456,3456,'Plan financier à imprimer'!AH52*30%)</f>
        <v>10789.651702502599</v>
      </c>
      <c r="D142" s="71">
        <f>IF('Plan financier à imprimer'!AI52*30%&lt;3456,3456,'Plan financier à imprimer'!AI52*30%)</f>
        <v>15307.645702502594</v>
      </c>
      <c r="F142" t="s">
        <v>110</v>
      </c>
      <c r="G142" s="245">
        <v>1305</v>
      </c>
      <c r="H142" s="248">
        <f>IF('Plan financier à imprimer'!AH52*32%&lt;3456,3456,'Plan financier à imprimer'!AH52*32%)</f>
        <v>11508.961816002773</v>
      </c>
      <c r="I142" s="72">
        <f>IF('Plan financier à imprimer'!AI52*32%&lt;3456,3456,'Plan financier à imprimer'!AI52*32%)</f>
        <v>16328.155416002768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9000</v>
      </c>
      <c r="D143" s="71">
        <f>IF(D134*45%&lt;3456,3456,D134*45%)</f>
        <v>12600</v>
      </c>
      <c r="F143" t="s">
        <v>109</v>
      </c>
      <c r="G143" s="245">
        <v>1305</v>
      </c>
      <c r="H143" s="248">
        <f>IF(C134*45%&lt;3456,3456,C134*45%)</f>
        <v>9000</v>
      </c>
      <c r="I143" s="72">
        <f>IF(D134*45%&lt;3456,3456,D134*45%)</f>
        <v>12600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9000</v>
      </c>
      <c r="D144" s="71">
        <f>IF(D134*45%&lt;3456,3456,D134*45%)</f>
        <v>12600</v>
      </c>
      <c r="F144" t="s">
        <v>111</v>
      </c>
      <c r="G144" s="245">
        <v>1305</v>
      </c>
      <c r="H144" s="248">
        <f>IF(C134*45%&lt;3456,3456,C134*45%)</f>
        <v>9000</v>
      </c>
      <c r="I144" s="72">
        <f>IF(D134*45%&lt;3456,3456,D134*45%)</f>
        <v>12600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14000</v>
      </c>
      <c r="D145" s="71">
        <f t="shared" si="20"/>
        <v>19600</v>
      </c>
      <c r="F145" t="s">
        <v>112</v>
      </c>
      <c r="G145" s="245">
        <f>B134*33%</f>
        <v>4950</v>
      </c>
      <c r="H145" s="245">
        <f>C134*70%</f>
        <v>14000</v>
      </c>
      <c r="I145" s="245">
        <f>D134*70%</f>
        <v>19600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14000</v>
      </c>
      <c r="D146" s="71">
        <f t="shared" si="21"/>
        <v>19600</v>
      </c>
      <c r="F146" t="s">
        <v>113</v>
      </c>
      <c r="G146" s="245">
        <f>B134*33%</f>
        <v>4950</v>
      </c>
      <c r="H146" s="245">
        <f>C134*70%</f>
        <v>14000</v>
      </c>
      <c r="I146" s="245">
        <f>D134*70%</f>
        <v>19600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14000</v>
      </c>
      <c r="D147" s="73">
        <f>SUMIF($A$140:$A$146,$B$8,D140:D146)</f>
        <v>19600</v>
      </c>
      <c r="F147" s="1" t="s">
        <v>108</v>
      </c>
      <c r="G147" s="245">
        <f>SUMIF($A$140:$A$146,$B$8,G140:G146)</f>
        <v>4950</v>
      </c>
      <c r="H147" s="246">
        <f>SUMIF($A$140:$A$146,$B$8,H140:H146)</f>
        <v>14000</v>
      </c>
      <c r="I147" s="246">
        <f>SUMIF($A$140:$A$146,$B$8,I140:I146)</f>
        <v>19600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disablePrompts="1"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Epicerie</v>
      </c>
      <c r="T6" s="1" t="s">
        <v>68</v>
      </c>
      <c r="V6" s="3" t="str">
        <f>IF(ISBLANK('Données à saisir'!$B7),"",('Données à saisir'!$B7))</f>
        <v>Epicerie</v>
      </c>
      <c r="AC6" s="1" t="s">
        <v>68</v>
      </c>
      <c r="AE6" s="3" t="str">
        <f>IF(ISBLANK('Données à saisir'!$B7),"",('Données à saisir'!$B7))</f>
        <v>Epicerie</v>
      </c>
      <c r="AL6" s="1" t="s">
        <v>68</v>
      </c>
      <c r="AN6" s="3" t="str">
        <f>IF(ISBLANK('Données à saisir'!$B7),"",('Données à saisir'!$B7))</f>
        <v>Epicerie</v>
      </c>
      <c r="AW6" s="1" t="s">
        <v>68</v>
      </c>
      <c r="AY6" s="3" t="str">
        <f>IF(ISBLANK('Données à saisir'!$B7),"",('Données à saisir'!$B7))</f>
        <v>Epicerie</v>
      </c>
      <c r="BF6" s="1" t="s">
        <v>68</v>
      </c>
      <c r="BH6" s="3" t="str">
        <f>IF(ISBLANK('Données à saisir'!$B7),"",('Données à saisir'!$B7))</f>
        <v>Epicerie</v>
      </c>
      <c r="BO6" s="1" t="s">
        <v>68</v>
      </c>
      <c r="BQ6" s="3" t="str">
        <f>IF(ISBLANK('Données à saisir'!$B7),"",('Données à saisir'!$B7))</f>
        <v>Epicerie</v>
      </c>
      <c r="BV6" s="193" t="s">
        <v>216</v>
      </c>
      <c r="BY6" s="1" t="s">
        <v>68</v>
      </c>
      <c r="CA6" s="3" t="str">
        <f>IF(ISBLANK('Données à saisir'!$B7),"",('Données à saisir'!$B7))</f>
        <v>Epicerie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378400</v>
      </c>
      <c r="AH10" s="60">
        <f t="shared" ref="AH10:AI10" si="0">SUM(AH11:AH12)</f>
        <v>435160</v>
      </c>
      <c r="AI10" s="226">
        <f t="shared" si="0"/>
        <v>500434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378400</v>
      </c>
      <c r="AH11" s="62">
        <f>AG11+AG11*'Données à saisir'!D117</f>
        <v>435160</v>
      </c>
      <c r="AI11" s="54">
        <f>AH11+AH11*'Données à saisir'!D118</f>
        <v>500434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378400</v>
      </c>
      <c r="BB11" s="60">
        <f>AH10</f>
        <v>435160</v>
      </c>
      <c r="BC11" s="226">
        <f>AI10</f>
        <v>500434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71400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276232</v>
      </c>
      <c r="BB12" s="104">
        <f>AQ15</f>
        <v>317666.8</v>
      </c>
      <c r="BC12" s="120">
        <f>AS15</f>
        <v>365316.82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276232</v>
      </c>
      <c r="AH13" s="57">
        <f>AH14</f>
        <v>317666.8</v>
      </c>
      <c r="AI13" s="53">
        <f>AI14</f>
        <v>365316.82</v>
      </c>
      <c r="AL13" s="107" t="s">
        <v>153</v>
      </c>
      <c r="AM13" s="34"/>
      <c r="AN13" s="34"/>
      <c r="AO13" s="119">
        <f>AG10</f>
        <v>378400</v>
      </c>
      <c r="AP13" s="139">
        <v>1</v>
      </c>
      <c r="AQ13" s="119">
        <f>AH10</f>
        <v>435160</v>
      </c>
      <c r="AR13" s="140">
        <v>1</v>
      </c>
      <c r="AS13" s="119">
        <f>AI10</f>
        <v>500434</v>
      </c>
      <c r="AT13" s="141">
        <v>1</v>
      </c>
      <c r="AW13" s="123" t="s">
        <v>177</v>
      </c>
      <c r="BA13" s="104">
        <f>BA12</f>
        <v>276232</v>
      </c>
      <c r="BB13" s="104">
        <f t="shared" ref="BB13:BC13" si="1">BB12</f>
        <v>317666.8</v>
      </c>
      <c r="BC13" s="120">
        <f t="shared" si="1"/>
        <v>365316.82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276232</v>
      </c>
      <c r="AH14" s="62">
        <f>'Données à saisir'!$D$123*'Plan financier à imprimer'!AH11</f>
        <v>317666.8</v>
      </c>
      <c r="AI14" s="54">
        <f>'Données à saisir'!$D$123*'Plan financier à imprimer'!AI11</f>
        <v>365316.82</v>
      </c>
      <c r="AL14" s="38" t="s">
        <v>154</v>
      </c>
      <c r="AO14" s="104">
        <f>AG10</f>
        <v>378400</v>
      </c>
      <c r="AP14" s="142">
        <v>1</v>
      </c>
      <c r="AQ14" s="104">
        <f>AH10</f>
        <v>435160</v>
      </c>
      <c r="AR14" s="143">
        <v>1</v>
      </c>
      <c r="AS14" s="104">
        <f>AI10</f>
        <v>500434</v>
      </c>
      <c r="AT14" s="144">
        <v>1</v>
      </c>
      <c r="AW14" s="123" t="s">
        <v>178</v>
      </c>
      <c r="BA14" s="57">
        <f>BA11-BA13</f>
        <v>102168</v>
      </c>
      <c r="BB14" s="57">
        <f t="shared" ref="BB14:BC14" si="2">BB11-BB13</f>
        <v>117493.20000000001</v>
      </c>
      <c r="BC14" s="53">
        <f t="shared" si="2"/>
        <v>135117.18</v>
      </c>
      <c r="BF14" s="186" t="s">
        <v>201</v>
      </c>
      <c r="BG14" s="52"/>
      <c r="BH14" s="52"/>
      <c r="BI14" s="52"/>
      <c r="BJ14" s="187">
        <f>Q12+Q23</f>
        <v>85900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20000</v>
      </c>
      <c r="Z15" s="61">
        <f>'Données à saisir'!D134</f>
        <v>28000</v>
      </c>
      <c r="AC15" s="67"/>
      <c r="AG15" s="62"/>
      <c r="AH15" s="62"/>
      <c r="AI15" s="69"/>
      <c r="AL15" s="70" t="s">
        <v>80</v>
      </c>
      <c r="AO15" s="104">
        <f>AG14</f>
        <v>276232</v>
      </c>
      <c r="AP15" s="145">
        <f>AO15/$AO$14</f>
        <v>0.73</v>
      </c>
      <c r="AQ15" s="104">
        <f>AH14</f>
        <v>317666.8</v>
      </c>
      <c r="AR15" s="145">
        <f>AQ15/$AQ$14</f>
        <v>0.73</v>
      </c>
      <c r="AS15" s="104">
        <f>AI14</f>
        <v>365316.82</v>
      </c>
      <c r="AT15" s="146">
        <f>AS15/$AS$14</f>
        <v>0.73</v>
      </c>
      <c r="AW15" s="63" t="s">
        <v>195</v>
      </c>
      <c r="AX15" s="64"/>
      <c r="AY15" s="64"/>
      <c r="AZ15" s="64"/>
      <c r="BA15" s="154">
        <f>IF(ISERROR(BA14/BA11),0,BA14/BA11)</f>
        <v>0.27</v>
      </c>
      <c r="BB15" s="154">
        <f t="shared" ref="BB15:BC15" si="3">IF(ISERROR(BB14/BB11),0,BB14/BB11)</f>
        <v>0.27</v>
      </c>
      <c r="BC15" s="158">
        <f t="shared" si="3"/>
        <v>0.26999999999999996</v>
      </c>
      <c r="BF15" s="123" t="s">
        <v>266</v>
      </c>
      <c r="BJ15" s="104">
        <f>Q30</f>
        <v>40000</v>
      </c>
      <c r="BK15" s="104"/>
      <c r="BL15" s="120"/>
      <c r="BO15" s="192" t="s">
        <v>202</v>
      </c>
      <c r="BP15" s="52"/>
      <c r="BQ15" s="52"/>
      <c r="BR15" s="187">
        <f>BJ19</f>
        <v>87900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87900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0.33333333333333331</v>
      </c>
      <c r="Z16" s="103">
        <f>IF(ISERROR((Z15-Y15)/Y15),"",(Z15-Y15)/Y15)</f>
        <v>0.4</v>
      </c>
      <c r="AC16" s="63" t="s">
        <v>127</v>
      </c>
      <c r="AD16" s="64"/>
      <c r="AE16" s="64"/>
      <c r="AF16" s="64"/>
      <c r="AG16" s="65">
        <f>AG10-AG13</f>
        <v>102168</v>
      </c>
      <c r="AH16" s="65">
        <f>AH10-AH13</f>
        <v>117493.20000000001</v>
      </c>
      <c r="AI16" s="66">
        <f>AI10-AI13</f>
        <v>135117.18</v>
      </c>
      <c r="AL16" s="63" t="s">
        <v>156</v>
      </c>
      <c r="AM16" s="64"/>
      <c r="AN16" s="64"/>
      <c r="AO16" s="65">
        <f>AO14-AO15</f>
        <v>102168</v>
      </c>
      <c r="AP16" s="147">
        <f t="shared" ref="AP16:AP28" si="5">AO16/$AO$14</f>
        <v>0.27</v>
      </c>
      <c r="AQ16" s="65">
        <f t="shared" ref="AQ16:AS16" si="6">AQ14-AQ15</f>
        <v>117493.20000000001</v>
      </c>
      <c r="AR16" s="148">
        <f t="shared" ref="AR16:AR28" si="7">AQ16/$AQ$14</f>
        <v>0.27</v>
      </c>
      <c r="AS16" s="65">
        <f t="shared" si="6"/>
        <v>135117.18</v>
      </c>
      <c r="AT16" s="150">
        <f t="shared" ref="AT16:AT28" si="8">AS16/$AS$14</f>
        <v>0.26999999999999996</v>
      </c>
      <c r="AW16" s="123" t="s">
        <v>179</v>
      </c>
      <c r="BA16" s="104">
        <f>SUM(AO17,AO19,AO20,AO22,AO24)</f>
        <v>97813.69432499136</v>
      </c>
      <c r="BB16" s="104">
        <f>SUM(AQ17,AQ19,AQ20,AQ22,AQ24)</f>
        <v>115527.69432499136</v>
      </c>
      <c r="BC16" s="159">
        <f>SUM(AS17,AS19,AS20,AS22,AS24)</f>
        <v>131691.69432499135</v>
      </c>
      <c r="BF16" s="123" t="s">
        <v>199</v>
      </c>
      <c r="BJ16" s="104">
        <f>BA39</f>
        <v>-26488</v>
      </c>
      <c r="BK16" s="104">
        <f>BB39-BA39</f>
        <v>-3973.1999999999971</v>
      </c>
      <c r="BL16" s="120">
        <f>+BC39-BB39</f>
        <v>-4569.1800000000076</v>
      </c>
      <c r="BO16" s="123" t="s">
        <v>203</v>
      </c>
      <c r="BR16" s="104">
        <f>BJ20</f>
        <v>50000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50000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4950</v>
      </c>
      <c r="Y17" s="57">
        <f>AH40</f>
        <v>14000</v>
      </c>
      <c r="Z17" s="53">
        <f>AI40</f>
        <v>19600</v>
      </c>
      <c r="AC17" s="37" t="s">
        <v>128</v>
      </c>
      <c r="AG17" s="57">
        <f>SUM(AG18:AG33)</f>
        <v>57470</v>
      </c>
      <c r="AH17" s="57">
        <f>SUM(AH18:AH33)</f>
        <v>59390</v>
      </c>
      <c r="AI17" s="68">
        <f>SUM(AI18:AI33)</f>
        <v>61410</v>
      </c>
      <c r="AL17" s="70" t="s">
        <v>81</v>
      </c>
      <c r="AO17" s="104">
        <f>AG17</f>
        <v>57470</v>
      </c>
      <c r="AP17" s="145">
        <f t="shared" si="5"/>
        <v>0.15187632135306553</v>
      </c>
      <c r="AQ17" s="104">
        <f>AH17</f>
        <v>59390</v>
      </c>
      <c r="AR17" s="149">
        <f t="shared" si="7"/>
        <v>0.13647853663020498</v>
      </c>
      <c r="AS17" s="104">
        <f>AI17</f>
        <v>61410</v>
      </c>
      <c r="AT17" s="146">
        <f t="shared" si="8"/>
        <v>0.12271348469528449</v>
      </c>
      <c r="AW17" s="63" t="s">
        <v>196</v>
      </c>
      <c r="AX17" s="64"/>
      <c r="AY17" s="64"/>
      <c r="AZ17" s="64"/>
      <c r="BA17" s="65">
        <f>BA12+BA16</f>
        <v>374045.69432499137</v>
      </c>
      <c r="BB17" s="65">
        <f t="shared" ref="BB17:BC17" si="9">BB12+BB16</f>
        <v>433194.49432499136</v>
      </c>
      <c r="BC17" s="66">
        <f t="shared" si="9"/>
        <v>497008.51432499138</v>
      </c>
      <c r="BF17" s="123" t="s">
        <v>200</v>
      </c>
      <c r="BJ17" s="104">
        <f>AO45</f>
        <v>7142.8571428571422</v>
      </c>
      <c r="BK17" s="104">
        <f>AQ45</f>
        <v>7142.8571428571422</v>
      </c>
      <c r="BL17" s="120">
        <f>AS45</f>
        <v>7142.8571428571422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65000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44698</v>
      </c>
      <c r="AP18" s="147">
        <f t="shared" si="5"/>
        <v>0.11812367864693446</v>
      </c>
      <c r="AQ18" s="65">
        <f t="shared" ref="AQ18:AS18" si="10">AQ16-AQ17</f>
        <v>58103.200000000012</v>
      </c>
      <c r="AR18" s="148">
        <f t="shared" si="7"/>
        <v>0.13352146336979503</v>
      </c>
      <c r="AS18" s="65">
        <f t="shared" si="10"/>
        <v>73707.179999999993</v>
      </c>
      <c r="AT18" s="150">
        <f t="shared" si="8"/>
        <v>0.14728651530471548</v>
      </c>
      <c r="AW18" s="123" t="s">
        <v>180</v>
      </c>
      <c r="BA18" s="104">
        <f>AG44</f>
        <v>4354.3056750086498</v>
      </c>
      <c r="BB18" s="104">
        <f>AH44</f>
        <v>1965.5056750086615</v>
      </c>
      <c r="BC18" s="159">
        <f>AI44</f>
        <v>3425.4856750086428</v>
      </c>
      <c r="BF18" s="63" t="s">
        <v>198</v>
      </c>
      <c r="BG18" s="64"/>
      <c r="BH18" s="64"/>
      <c r="BI18" s="64"/>
      <c r="BJ18" s="188">
        <f>SUM(BJ14:BJ17)</f>
        <v>106554.85714285714</v>
      </c>
      <c r="BK18" s="189">
        <f>SUM(BK14:BK17)</f>
        <v>3169.6571428571451</v>
      </c>
      <c r="BL18" s="190">
        <f>SUM(BL14:BL17)</f>
        <v>2573.6771428571346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9000</v>
      </c>
      <c r="Y19" s="60">
        <f>'Données à saisir'!C133</f>
        <v>9200</v>
      </c>
      <c r="Z19" s="61">
        <f>'Données à saisir'!D133</f>
        <v>9400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1300</v>
      </c>
      <c r="AR19" s="149">
        <f t="shared" si="7"/>
        <v>2.9874069307840793E-3</v>
      </c>
      <c r="AS19" s="104">
        <f>AI36</f>
        <v>1400</v>
      </c>
      <c r="AT19" s="146">
        <f t="shared" si="8"/>
        <v>2.7975717077576663E-3</v>
      </c>
      <c r="AW19" s="63" t="s">
        <v>197</v>
      </c>
      <c r="AX19" s="64"/>
      <c r="AY19" s="64"/>
      <c r="AZ19" s="64"/>
      <c r="BA19" s="65">
        <f>IF(ISERROR(BA16/BA15),0,BA16/BA15)</f>
        <v>362272.94194441242</v>
      </c>
      <c r="BB19" s="65">
        <f t="shared" ref="BB19:BC19" si="11">IF(ISERROR(BB16/BB15),0,BB16/BB15)</f>
        <v>427880.34935181984</v>
      </c>
      <c r="BC19" s="66">
        <f t="shared" si="11"/>
        <v>487747.01601848652</v>
      </c>
      <c r="BF19" s="123" t="s">
        <v>202</v>
      </c>
      <c r="BJ19" s="104">
        <f>Q37</f>
        <v>87900</v>
      </c>
      <c r="BK19" s="104"/>
      <c r="BL19" s="159"/>
      <c r="BO19" s="192" t="s">
        <v>213</v>
      </c>
      <c r="BP19" s="34"/>
      <c r="BQ19" s="34"/>
      <c r="BR19" s="119">
        <f>'Données à saisir'!D103</f>
        <v>17600</v>
      </c>
      <c r="BS19" s="119">
        <f>'Données à saisir'!D104</f>
        <v>22000</v>
      </c>
      <c r="BT19" s="119">
        <f>'Données à saisir'!D105</f>
        <v>26400</v>
      </c>
      <c r="BU19" s="119">
        <f>'Données à saisir'!D106</f>
        <v>30800</v>
      </c>
      <c r="BV19" s="209">
        <f>'Données à saisir'!D107</f>
        <v>30800</v>
      </c>
      <c r="BY19" s="210">
        <f>'Données à saisir'!D108</f>
        <v>37400</v>
      </c>
      <c r="BZ19" s="119">
        <f>'Données à saisir'!D109</f>
        <v>34000</v>
      </c>
      <c r="CA19" s="119">
        <f>'Données à saisir'!D110</f>
        <v>24000</v>
      </c>
      <c r="CB19" s="119">
        <f>'Données à saisir'!D111</f>
        <v>39600</v>
      </c>
      <c r="CC19" s="119">
        <f>'Données à saisir'!D112</f>
        <v>41800</v>
      </c>
      <c r="CD19" s="119">
        <f>'Données à saisir'!D113</f>
        <v>44000</v>
      </c>
      <c r="CE19" s="211">
        <f>'Données à saisir'!D114</f>
        <v>30000</v>
      </c>
      <c r="CF19" s="213">
        <f>SUM(BR19:CE19)</f>
        <v>378400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2500</v>
      </c>
      <c r="T20" s="44"/>
      <c r="U20" s="3" t="s">
        <v>142</v>
      </c>
      <c r="X20" s="62"/>
      <c r="Y20" s="102">
        <f>IF(ISERROR((Y19-X19)/X19),"",(Y19-X19)/X19)</f>
        <v>2.2222222222222223E-2</v>
      </c>
      <c r="Z20" s="103">
        <f>IF(ISERROR((Z19-Y19)/Y19),"",(Z19-Y19)/Y19)</f>
        <v>2.1739130434782608E-2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250</v>
      </c>
      <c r="AL20" s="38" t="s">
        <v>155</v>
      </c>
      <c r="AM20" s="1"/>
      <c r="AN20" s="1"/>
      <c r="AO20" s="104">
        <f>SUM(AG37:AG40)</f>
        <v>35430</v>
      </c>
      <c r="AP20" s="145">
        <f t="shared" si="5"/>
        <v>9.363107822410148E-2</v>
      </c>
      <c r="AQ20" s="104">
        <f>SUM(AH37:AH40)</f>
        <v>49824</v>
      </c>
      <c r="AR20" s="149">
        <f t="shared" si="7"/>
        <v>0.1144958176302969</v>
      </c>
      <c r="AS20" s="104">
        <f>SUM(AI37:AI40)</f>
        <v>63768</v>
      </c>
      <c r="AT20" s="146">
        <f t="shared" si="8"/>
        <v>0.12742539475735062</v>
      </c>
      <c r="AW20" s="123" t="s">
        <v>181</v>
      </c>
      <c r="BA20" s="104">
        <f>BA11-BA19</f>
        <v>16127.058055587579</v>
      </c>
      <c r="BB20" s="104">
        <f t="shared" ref="BB20:BC20" si="12">BB11-BB19</f>
        <v>7279.6506481801625</v>
      </c>
      <c r="BC20" s="120">
        <f t="shared" si="12"/>
        <v>12686.983981513476</v>
      </c>
      <c r="BF20" s="123" t="s">
        <v>203</v>
      </c>
      <c r="BJ20" s="104">
        <f>Q40</f>
        <v>50000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6480</v>
      </c>
      <c r="Y21" s="57">
        <f>'Données à saisir'!C139</f>
        <v>6624</v>
      </c>
      <c r="Z21" s="53">
        <f>'Données à saisir'!D139</f>
        <v>6768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1600</v>
      </c>
      <c r="AI21" s="54">
        <f>IF(ISBLANK('Données à saisir'!D80),0,'Données à saisir'!D80)</f>
        <v>1700</v>
      </c>
      <c r="AL21" s="63" t="s">
        <v>130</v>
      </c>
      <c r="AM21" s="64"/>
      <c r="AN21" s="64"/>
      <c r="AO21" s="65">
        <f>AO18-AO19-AO20</f>
        <v>9268</v>
      </c>
      <c r="AP21" s="147">
        <f t="shared" si="5"/>
        <v>2.449260042283298E-2</v>
      </c>
      <c r="AQ21" s="65">
        <f t="shared" ref="AQ21:AS21" si="14">AQ18-AQ19-AQ20</f>
        <v>6979.2000000000116</v>
      </c>
      <c r="AR21" s="148">
        <f t="shared" si="7"/>
        <v>1.6038238808714064E-2</v>
      </c>
      <c r="AS21" s="65">
        <f t="shared" si="14"/>
        <v>8539.179999999993</v>
      </c>
      <c r="AT21" s="150">
        <f t="shared" si="8"/>
        <v>1.7063548839607208E-2</v>
      </c>
      <c r="AW21" s="208" t="s">
        <v>182</v>
      </c>
      <c r="AX21" s="36"/>
      <c r="AY21" s="36"/>
      <c r="AZ21" s="36"/>
      <c r="BA21" s="156">
        <f>BA19/250</f>
        <v>1449.0917677776497</v>
      </c>
      <c r="BB21" s="156">
        <f t="shared" ref="BB21:BC21" si="15">BB19/250</f>
        <v>1711.5213974072794</v>
      </c>
      <c r="BC21" s="157">
        <f t="shared" si="15"/>
        <v>1950.9880640739461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17600</v>
      </c>
      <c r="BS21" s="65">
        <f t="shared" ref="BS21:BV21" si="16">SUM(BS19:BS20)</f>
        <v>22000</v>
      </c>
      <c r="BT21" s="65">
        <f t="shared" si="16"/>
        <v>26400</v>
      </c>
      <c r="BU21" s="65">
        <f t="shared" si="16"/>
        <v>30800</v>
      </c>
      <c r="BV21" s="66">
        <f t="shared" si="16"/>
        <v>30800</v>
      </c>
      <c r="BY21" s="197">
        <f t="shared" ref="BY21:CE21" si="17">SUM(BY19:BY20)</f>
        <v>37400</v>
      </c>
      <c r="BZ21" s="65">
        <f t="shared" si="17"/>
        <v>34000</v>
      </c>
      <c r="CA21" s="65">
        <f t="shared" si="17"/>
        <v>24000</v>
      </c>
      <c r="CB21" s="65">
        <f t="shared" si="17"/>
        <v>39600</v>
      </c>
      <c r="CC21" s="65">
        <f t="shared" si="17"/>
        <v>41800</v>
      </c>
      <c r="CD21" s="65">
        <f t="shared" si="17"/>
        <v>44000</v>
      </c>
      <c r="CE21" s="131">
        <f t="shared" si="17"/>
        <v>30000</v>
      </c>
      <c r="CF21" s="200">
        <f t="shared" si="13"/>
        <v>378400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2628.5714285714284</v>
      </c>
      <c r="AP22" s="145">
        <f t="shared" si="5"/>
        <v>6.9465418302627601E-3</v>
      </c>
      <c r="AQ22" s="104">
        <f>AH43</f>
        <v>2628.5714285714284</v>
      </c>
      <c r="AR22" s="149">
        <f t="shared" si="7"/>
        <v>6.040471156750226E-3</v>
      </c>
      <c r="AS22" s="104">
        <f>AI43</f>
        <v>2628.5714285714284</v>
      </c>
      <c r="AT22" s="146">
        <f t="shared" si="8"/>
        <v>5.2525836145654141E-3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71400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71400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14500</v>
      </c>
      <c r="AC23" s="44" t="str">
        <f>'Données à saisir'!A82</f>
        <v>Eau, électricité, gaz</v>
      </c>
      <c r="AG23" s="62">
        <f>IF(ISBLANK('Données à saisir'!B82),0,'Données à saisir'!B82)</f>
        <v>4500</v>
      </c>
      <c r="AH23" s="62">
        <f>IF(ISBLANK('Données à saisir'!C82),0,'Données à saisir'!C82)</f>
        <v>4700</v>
      </c>
      <c r="AI23" s="54">
        <f>IF(ISBLANK('Données à saisir'!D82),0,'Données à saisir'!D82)</f>
        <v>5000</v>
      </c>
      <c r="AL23" s="63" t="s">
        <v>158</v>
      </c>
      <c r="AM23" s="64"/>
      <c r="AN23" s="64"/>
      <c r="AO23" s="65">
        <f>AO21-AO22</f>
        <v>6639.4285714285716</v>
      </c>
      <c r="AP23" s="147">
        <f t="shared" si="5"/>
        <v>1.7546058592570222E-2</v>
      </c>
      <c r="AQ23" s="65">
        <f t="shared" ref="AQ23:AS23" si="18">AQ21-AQ22</f>
        <v>4350.6285714285832</v>
      </c>
      <c r="AR23" s="148">
        <f t="shared" si="7"/>
        <v>9.9977676519638365E-3</v>
      </c>
      <c r="AS23" s="65">
        <f t="shared" si="18"/>
        <v>5910.6085714285646</v>
      </c>
      <c r="AT23" s="150">
        <f t="shared" si="8"/>
        <v>1.1810965225041792E-2</v>
      </c>
      <c r="AW23" s="4"/>
      <c r="BA23" s="99"/>
      <c r="BB23" s="99"/>
      <c r="BC23" s="99"/>
      <c r="BF23" s="123" t="s">
        <v>206</v>
      </c>
      <c r="BJ23" s="104">
        <f>AO44</f>
        <v>6329.7312523287801</v>
      </c>
      <c r="BK23" s="104">
        <f>AQ44</f>
        <v>4299.2512523287905</v>
      </c>
      <c r="BL23" s="159">
        <f>AS44</f>
        <v>5540.2342523287743</v>
      </c>
      <c r="BO23" s="123" t="s">
        <v>70</v>
      </c>
      <c r="BR23" s="104">
        <f>Q23</f>
        <v>14500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14500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2285.1228964199222</v>
      </c>
      <c r="AP24" s="145">
        <f t="shared" si="5"/>
        <v>6.0389082886361583E-3</v>
      </c>
      <c r="AQ24" s="104">
        <f>AH42</f>
        <v>2385.1228964199222</v>
      </c>
      <c r="AR24" s="149">
        <f t="shared" si="7"/>
        <v>5.4810251319512872E-3</v>
      </c>
      <c r="AS24" s="104">
        <f>AI42</f>
        <v>2485.1228964199222</v>
      </c>
      <c r="AT24" s="146">
        <f t="shared" si="8"/>
        <v>4.9659353609465429E-3</v>
      </c>
      <c r="BF24" s="63" t="s">
        <v>207</v>
      </c>
      <c r="BG24" s="64"/>
      <c r="BH24" s="64"/>
      <c r="BI24" s="64"/>
      <c r="BJ24" s="65">
        <f>SUM(BJ19:BJ23)</f>
        <v>144229.73125232878</v>
      </c>
      <c r="BK24" s="65">
        <f>SUM(BK19:BK23)</f>
        <v>4299.2512523287905</v>
      </c>
      <c r="BL24" s="66">
        <f>SUM(BL19:BL23)</f>
        <v>5540.2342523287743</v>
      </c>
      <c r="BO24" s="63" t="s">
        <v>227</v>
      </c>
      <c r="BP24" s="64"/>
      <c r="BQ24" s="64"/>
      <c r="BR24" s="65">
        <f>SUM(BR22:BR23)</f>
        <v>85900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85900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3800</v>
      </c>
      <c r="AI25" s="54">
        <f>IF(ISBLANK('Données à saisir'!D84),0,'Données à saisir'!D84)</f>
        <v>4100</v>
      </c>
      <c r="AL25" s="38" t="s">
        <v>159</v>
      </c>
      <c r="AM25" s="1"/>
      <c r="AN25" s="1"/>
      <c r="AO25" s="104">
        <f>AO24*-1</f>
        <v>-2285.1228964199222</v>
      </c>
      <c r="AP25" s="145">
        <f t="shared" si="5"/>
        <v>-6.0389082886361583E-3</v>
      </c>
      <c r="AQ25" s="104">
        <f t="shared" ref="AQ25:AS25" si="19">AQ24*-1</f>
        <v>-2385.1228964199222</v>
      </c>
      <c r="AR25" s="149">
        <f t="shared" si="7"/>
        <v>-5.4810251319512872E-3</v>
      </c>
      <c r="AS25" s="104">
        <f t="shared" si="19"/>
        <v>-2485.1228964199222</v>
      </c>
      <c r="AT25" s="146">
        <f t="shared" si="8"/>
        <v>-4.9659353609465429E-3</v>
      </c>
      <c r="BA25" s="90"/>
      <c r="BF25" s="123" t="s">
        <v>208</v>
      </c>
      <c r="BJ25" s="104">
        <f>BJ24-BJ18</f>
        <v>37674.874109471639</v>
      </c>
      <c r="BK25" s="104">
        <f>BK24-BK18</f>
        <v>1129.5941094716454</v>
      </c>
      <c r="BL25" s="120">
        <f>BL24-BL18</f>
        <v>2966.5571094716397</v>
      </c>
      <c r="BO25" s="123" t="s">
        <v>261</v>
      </c>
      <c r="BR25" s="104">
        <f>Q30</f>
        <v>40000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7000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500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4354.3056750086489</v>
      </c>
      <c r="AP26" s="147">
        <f t="shared" si="5"/>
        <v>1.1507150303934061E-2</v>
      </c>
      <c r="AQ26" s="65">
        <f t="shared" ref="AQ26:AS26" si="21">AQ23+AQ25</f>
        <v>1965.505675008661</v>
      </c>
      <c r="AR26" s="148">
        <f t="shared" si="7"/>
        <v>4.5167425200125493E-3</v>
      </c>
      <c r="AS26" s="65">
        <f t="shared" si="21"/>
        <v>3425.4856750086424</v>
      </c>
      <c r="AT26" s="150">
        <f t="shared" si="8"/>
        <v>6.8450298640952501E-3</v>
      </c>
      <c r="BF26" s="63" t="s">
        <v>262</v>
      </c>
      <c r="BG26" s="64"/>
      <c r="BH26" s="64"/>
      <c r="BI26" s="64"/>
      <c r="BJ26" s="65">
        <f>BJ25</f>
        <v>37674.874109471639</v>
      </c>
      <c r="BK26" s="65">
        <f>BJ26+BK25</f>
        <v>38804.468218943286</v>
      </c>
      <c r="BL26" s="66">
        <f>+BK26+BL25</f>
        <v>41771.025328414922</v>
      </c>
      <c r="BO26" s="123" t="s">
        <v>228</v>
      </c>
      <c r="BR26" s="104">
        <f>IF(ISERROR('Données à saisir'!$J$73/12),0,'Données à saisir'!$J$73/12)</f>
        <v>595.23809523809518</v>
      </c>
      <c r="BS26" s="104">
        <f>IF(ISERROR('Données à saisir'!$J$73/12),0,'Données à saisir'!$J$73/12)</f>
        <v>595.23809523809518</v>
      </c>
      <c r="BT26" s="104">
        <f>IF(ISERROR('Données à saisir'!$J$73/12),0,'Données à saisir'!$J$73/12)</f>
        <v>595.23809523809518</v>
      </c>
      <c r="BU26" s="104">
        <f>IF(ISERROR('Données à saisir'!$J$73/12),0,'Données à saisir'!$J$73/12)</f>
        <v>595.23809523809518</v>
      </c>
      <c r="BV26" s="120">
        <f>IF(ISERROR('Données à saisir'!$J$73/12),0,'Données à saisir'!$J$73/12)</f>
        <v>595.23809523809518</v>
      </c>
      <c r="BY26" s="196">
        <f>IF(ISERROR('Données à saisir'!$J$73/12),0,'Données à saisir'!$J$73/12)</f>
        <v>595.23809523809518</v>
      </c>
      <c r="BZ26" s="104">
        <f>IF(ISERROR('Données à saisir'!$J$73/12),0,'Données à saisir'!$J$73/12)</f>
        <v>595.23809523809518</v>
      </c>
      <c r="CA26" s="104">
        <f>IF(ISERROR('Données à saisir'!$J$73/12),0,'Données à saisir'!$J$73/12)</f>
        <v>595.23809523809518</v>
      </c>
      <c r="CB26" s="104">
        <f>IF(ISERROR('Données à saisir'!$J$73/12),0,'Données à saisir'!$J$73/12)</f>
        <v>595.23809523809518</v>
      </c>
      <c r="CC26" s="104">
        <f>IF(ISERROR('Données à saisir'!$J$73/12),0,'Données à saisir'!$J$73/12)</f>
        <v>595.23809523809518</v>
      </c>
      <c r="CD26" s="104">
        <f>IF(ISERROR('Données à saisir'!$J$73/12),0,'Données à saisir'!$J$73/12)</f>
        <v>595.23809523809518</v>
      </c>
      <c r="CE26" s="132">
        <f>IF(ISERROR('Données à saisir'!$J$73/12),0,'Données à saisir'!$J$73/12)</f>
        <v>595.23809523809518</v>
      </c>
      <c r="CF26" s="201">
        <f t="shared" si="20"/>
        <v>7142.857142857144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3000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2000</v>
      </c>
      <c r="AH27" s="62">
        <f>IF(ISBLANK('Données à saisir'!C86),0,'Données à saisir'!C86)</f>
        <v>2000</v>
      </c>
      <c r="AI27" s="54">
        <f>IF(ISBLANK('Données à saisir'!D86),0,'Données à saisir'!D86)</f>
        <v>2000</v>
      </c>
      <c r="AL27" s="63" t="s">
        <v>162</v>
      </c>
      <c r="AM27" s="64"/>
      <c r="AN27" s="64"/>
      <c r="AO27" s="65">
        <f>IF(ISERROR(AO26-AG45),AO26,(AO26-AG45))</f>
        <v>3701.1598237573517</v>
      </c>
      <c r="AP27" s="147">
        <f t="shared" si="5"/>
        <v>9.7810777583439527E-3</v>
      </c>
      <c r="AQ27" s="65">
        <f>IF(ISERROR(AQ26-AH45),AQ26,(AQ26-AH45))</f>
        <v>1670.6798237573619</v>
      </c>
      <c r="AR27" s="148">
        <f t="shared" si="7"/>
        <v>3.8392311420106669E-3</v>
      </c>
      <c r="AS27" s="65">
        <f>IF(ISERROR(AS26-AI45),AS26,(AS26-AI45))</f>
        <v>2911.6628237573459</v>
      </c>
      <c r="AT27" s="150">
        <f t="shared" si="8"/>
        <v>5.8182753844809622E-3</v>
      </c>
      <c r="BO27" s="123" t="s">
        <v>229</v>
      </c>
      <c r="BR27" s="104">
        <f>BR19*'Données à saisir'!$D$123</f>
        <v>12848</v>
      </c>
      <c r="BS27" s="104">
        <f>BS19*'Données à saisir'!$D$123</f>
        <v>16060</v>
      </c>
      <c r="BT27" s="104">
        <f>BT19*'Données à saisir'!$D$123</f>
        <v>19272</v>
      </c>
      <c r="BU27" s="104">
        <f>BU19*'Données à saisir'!$D$123</f>
        <v>22484</v>
      </c>
      <c r="BV27" s="120">
        <f>BV19*'Données à saisir'!$D$123</f>
        <v>22484</v>
      </c>
      <c r="BY27" s="196">
        <f>BY19*'Données à saisir'!$D$123</f>
        <v>27302</v>
      </c>
      <c r="BZ27" s="104">
        <f>BZ19*'Données à saisir'!$D$123</f>
        <v>24820</v>
      </c>
      <c r="CA27" s="104">
        <f>CA19*'Données à saisir'!$D$123</f>
        <v>17520</v>
      </c>
      <c r="CB27" s="104">
        <f>CB19*'Données à saisir'!$D$123</f>
        <v>28908</v>
      </c>
      <c r="CC27" s="104">
        <f>CC19*'Données à saisir'!$D$123</f>
        <v>30514</v>
      </c>
      <c r="CD27" s="104">
        <f>CD19*'Données à saisir'!$D$123</f>
        <v>32120</v>
      </c>
      <c r="CE27" s="132">
        <f>CE19*'Données à saisir'!$D$123</f>
        <v>21900</v>
      </c>
      <c r="CF27" s="201">
        <f t="shared" si="20"/>
        <v>276232</v>
      </c>
    </row>
    <row r="28" spans="2:84" ht="15.1" customHeight="1" thickBot="1" x14ac:dyDescent="0.3">
      <c r="B28" s="26"/>
      <c r="C28" s="327" t="str">
        <f>IF(ISBLANK('Données à saisir'!B7),"",('Données à saisir'!B7))</f>
        <v>Epicerie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4000</v>
      </c>
      <c r="AI28" s="54">
        <f>IF(ISBLANK('Données à saisir'!D87),0,'Données à saisir'!D87)</f>
        <v>4000</v>
      </c>
      <c r="AL28" s="38" t="s">
        <v>160</v>
      </c>
      <c r="AM28" s="1"/>
      <c r="AN28" s="1"/>
      <c r="AO28" s="104">
        <f>AO27+AO22</f>
        <v>6329.7312523287801</v>
      </c>
      <c r="AP28" s="145">
        <f t="shared" si="5"/>
        <v>1.6727619588606711E-2</v>
      </c>
      <c r="AQ28" s="104">
        <f t="shared" ref="AQ28:AS28" si="22">AQ27+AQ22</f>
        <v>4299.2512523287905</v>
      </c>
      <c r="AR28" s="149">
        <f t="shared" si="7"/>
        <v>9.8797022987608934E-3</v>
      </c>
      <c r="AS28" s="104">
        <f t="shared" si="22"/>
        <v>5540.2342523287743</v>
      </c>
      <c r="AT28" s="151">
        <f t="shared" si="8"/>
        <v>1.1070858999046376E-2</v>
      </c>
      <c r="BF28" s="92" t="s">
        <v>258</v>
      </c>
      <c r="BI28" s="338">
        <f>Q31</f>
        <v>12000</v>
      </c>
      <c r="BJ28" s="338"/>
      <c r="BO28" s="123" t="s">
        <v>81</v>
      </c>
      <c r="BR28" s="104">
        <f>$AG$17/12</f>
        <v>4789.166666666667</v>
      </c>
      <c r="BS28" s="104">
        <f t="shared" ref="BS28:CE28" si="23">$AG$17/12</f>
        <v>4789.166666666667</v>
      </c>
      <c r="BT28" s="104">
        <f t="shared" si="23"/>
        <v>4789.166666666667</v>
      </c>
      <c r="BU28" s="104">
        <f t="shared" si="23"/>
        <v>4789.166666666667</v>
      </c>
      <c r="BV28" s="120">
        <f t="shared" si="23"/>
        <v>4789.166666666667</v>
      </c>
      <c r="BY28" s="196">
        <f t="shared" si="23"/>
        <v>4789.166666666667</v>
      </c>
      <c r="BZ28" s="104">
        <f t="shared" si="23"/>
        <v>4789.166666666667</v>
      </c>
      <c r="CA28" s="104">
        <f t="shared" si="23"/>
        <v>4789.166666666667</v>
      </c>
      <c r="CB28" s="104">
        <f t="shared" si="23"/>
        <v>4789.166666666667</v>
      </c>
      <c r="CC28" s="104">
        <f t="shared" si="23"/>
        <v>4789.166666666667</v>
      </c>
      <c r="CD28" s="104">
        <f t="shared" si="23"/>
        <v>4789.166666666667</v>
      </c>
      <c r="CE28" s="132">
        <f t="shared" si="23"/>
        <v>4789.166666666667</v>
      </c>
      <c r="CF28" s="201">
        <f t="shared" si="20"/>
        <v>57469.999999999993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35000</v>
      </c>
      <c r="AH29" s="62">
        <f>IF(ISBLANK('Données à saisir'!C88),0,'Données à saisir'!C88)</f>
        <v>36000</v>
      </c>
      <c r="AI29" s="54">
        <f>IF(ISBLANK('Données à saisir'!D88),0,'Données à saisir'!D88)</f>
        <v>37000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3200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750</v>
      </c>
      <c r="BS30" s="119">
        <f t="shared" si="24"/>
        <v>750</v>
      </c>
      <c r="BT30" s="119">
        <f t="shared" si="24"/>
        <v>750</v>
      </c>
      <c r="BU30" s="119">
        <f t="shared" si="24"/>
        <v>750</v>
      </c>
      <c r="BV30" s="209">
        <f t="shared" si="24"/>
        <v>750</v>
      </c>
      <c r="BY30" s="210">
        <f t="shared" si="25"/>
        <v>750</v>
      </c>
      <c r="BZ30" s="119">
        <f t="shared" si="25"/>
        <v>750</v>
      </c>
      <c r="CA30" s="119">
        <f t="shared" si="25"/>
        <v>750</v>
      </c>
      <c r="CB30" s="119">
        <f t="shared" si="25"/>
        <v>750</v>
      </c>
      <c r="CC30" s="119">
        <f t="shared" si="25"/>
        <v>750</v>
      </c>
      <c r="CD30" s="119">
        <f t="shared" si="25"/>
        <v>750</v>
      </c>
      <c r="CE30" s="211">
        <f t="shared" si="25"/>
        <v>750</v>
      </c>
      <c r="CF30" s="213">
        <f t="shared" si="20"/>
        <v>9000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12000</v>
      </c>
      <c r="T31" s="107" t="s">
        <v>149</v>
      </c>
      <c r="U31" s="34"/>
      <c r="V31" s="34"/>
      <c r="W31" s="34"/>
      <c r="X31" s="110">
        <f>SUM(X33:X39)</f>
        <v>557.14285714285711</v>
      </c>
      <c r="Y31" s="110">
        <f>SUM(Y33:Y39)</f>
        <v>557.14285714285711</v>
      </c>
      <c r="Z31" s="111">
        <f>SUM(Z33:Z39)</f>
        <v>557.14285714285711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320</v>
      </c>
      <c r="AH31" s="62">
        <f>IF(ISBLANK('Données à saisir'!C93),0,'Données à saisir'!C93)</f>
        <v>320</v>
      </c>
      <c r="AI31" s="69">
        <f>IF(ISBLANK('Données à saisir'!D93),0,'Données à saisir'!D93)</f>
        <v>320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540</v>
      </c>
      <c r="BS31" s="104">
        <f t="shared" si="24"/>
        <v>540</v>
      </c>
      <c r="BT31" s="104">
        <f t="shared" si="24"/>
        <v>540</v>
      </c>
      <c r="BU31" s="104">
        <f t="shared" si="24"/>
        <v>540</v>
      </c>
      <c r="BV31" s="120">
        <f t="shared" si="24"/>
        <v>540</v>
      </c>
      <c r="BY31" s="196">
        <f t="shared" si="25"/>
        <v>540</v>
      </c>
      <c r="BZ31" s="104">
        <f t="shared" si="25"/>
        <v>540</v>
      </c>
      <c r="CA31" s="104">
        <f t="shared" si="25"/>
        <v>540</v>
      </c>
      <c r="CB31" s="104">
        <f t="shared" si="25"/>
        <v>540</v>
      </c>
      <c r="CC31" s="104">
        <f t="shared" si="25"/>
        <v>540</v>
      </c>
      <c r="CD31" s="104">
        <f t="shared" si="25"/>
        <v>540</v>
      </c>
      <c r="CE31" s="132">
        <f t="shared" si="25"/>
        <v>540</v>
      </c>
      <c r="CF31" s="201">
        <f t="shared" si="20"/>
        <v>6480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137900</v>
      </c>
      <c r="T32" s="35"/>
      <c r="X32" s="234"/>
      <c r="Y32" s="234"/>
      <c r="Z32" s="235"/>
      <c r="AC32" s="44" t="str">
        <f>IF(ISBLANK('Données à saisir'!A94),"",'Données à saisir'!A94)</f>
        <v>Déchetterie</v>
      </c>
      <c r="AD32" s="50"/>
      <c r="AE32" s="50"/>
      <c r="AF32" s="50"/>
      <c r="AG32" s="62">
        <f>IF(ISBLANK('Données à saisir'!B94),0,'Données à saisir'!B94)</f>
        <v>450</v>
      </c>
      <c r="AH32" s="62">
        <f>IF(ISBLANK('Données à saisir'!C94),0,'Données à saisir'!C94)</f>
        <v>500</v>
      </c>
      <c r="AI32" s="69">
        <f>IF(ISBLANK('Données à saisir'!D94),0,'Données à saisir'!D94)</f>
        <v>550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114.28571428571429</v>
      </c>
      <c r="Y33" s="113">
        <f>'Données à saisir'!D40</f>
        <v>114.28571428571429</v>
      </c>
      <c r="Z33" s="236">
        <f>'Données à saisir'!E40</f>
        <v>114.28571428571429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2952.5</v>
      </c>
      <c r="BS34" s="65">
        <f t="shared" ref="BS34:CE34" si="27">SUM(BS30:BS33)</f>
        <v>2952.5</v>
      </c>
      <c r="BT34" s="65">
        <f t="shared" si="27"/>
        <v>2952.5</v>
      </c>
      <c r="BU34" s="65">
        <f t="shared" si="27"/>
        <v>2952.5</v>
      </c>
      <c r="BV34" s="66">
        <f t="shared" si="27"/>
        <v>2952.5</v>
      </c>
      <c r="BY34" s="197">
        <f t="shared" si="27"/>
        <v>2952.5</v>
      </c>
      <c r="BZ34" s="65">
        <f t="shared" si="27"/>
        <v>2952.5</v>
      </c>
      <c r="CA34" s="65">
        <f t="shared" si="27"/>
        <v>2952.5</v>
      </c>
      <c r="CB34" s="65">
        <f t="shared" si="27"/>
        <v>2952.5</v>
      </c>
      <c r="CC34" s="65">
        <f t="shared" si="27"/>
        <v>2952.5</v>
      </c>
      <c r="CD34" s="65">
        <f t="shared" si="27"/>
        <v>2952.5</v>
      </c>
      <c r="CE34" s="131">
        <f t="shared" si="27"/>
        <v>2952.5</v>
      </c>
      <c r="CF34" s="200">
        <f t="shared" si="20"/>
        <v>35430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44698</v>
      </c>
      <c r="AH35" s="65">
        <f>AH16-AH17</f>
        <v>58103.200000000012</v>
      </c>
      <c r="AI35" s="66">
        <f>AI16-AI17</f>
        <v>73707.179999999993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190.42690803499352</v>
      </c>
      <c r="BS35" s="104">
        <f>$AG42/12</f>
        <v>190.42690803499352</v>
      </c>
      <c r="BT35" s="104">
        <f>$AG42/12</f>
        <v>190.42690803499352</v>
      </c>
      <c r="BU35" s="104">
        <f>$AG42/12</f>
        <v>190.42690803499352</v>
      </c>
      <c r="BV35" s="120">
        <f>$AG42/12</f>
        <v>190.42690803499352</v>
      </c>
      <c r="BY35" s="196">
        <f t="shared" ref="BY35:CE35" si="28">$AG42/12</f>
        <v>190.42690803499352</v>
      </c>
      <c r="BZ35" s="104">
        <f t="shared" si="28"/>
        <v>190.42690803499352</v>
      </c>
      <c r="CA35" s="104">
        <f t="shared" si="28"/>
        <v>190.42690803499352</v>
      </c>
      <c r="CB35" s="104">
        <f t="shared" si="28"/>
        <v>190.42690803499352</v>
      </c>
      <c r="CC35" s="104">
        <f t="shared" si="28"/>
        <v>190.42690803499352</v>
      </c>
      <c r="CD35" s="104">
        <f t="shared" si="28"/>
        <v>190.42690803499352</v>
      </c>
      <c r="CE35" s="132">
        <f t="shared" si="28"/>
        <v>190.42690803499352</v>
      </c>
      <c r="CF35" s="201">
        <f t="shared" si="20"/>
        <v>2285.1228964199227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114.28571428571429</v>
      </c>
      <c r="Y36" s="113">
        <f>'Données à saisir'!D48</f>
        <v>114.28571428571429</v>
      </c>
      <c r="Z36" s="236">
        <f>'Données à saisir'!E48</f>
        <v>114.28571428571429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1300</v>
      </c>
      <c r="AI36" s="53">
        <f>IF(ISBLANK('Données à saisir'!D91),0,'Données à saisir'!D91)</f>
        <v>1400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147275.33166993977</v>
      </c>
      <c r="BS36" s="65">
        <f>SUM(BS24:BS29,BS34:BS35)</f>
        <v>24587.331669939758</v>
      </c>
      <c r="BT36" s="65">
        <f>SUM(BT24:BT29,BT34:BT35)</f>
        <v>27799.331669939758</v>
      </c>
      <c r="BU36" s="65">
        <f>SUM(BU24:BU29,BU34:BU35)</f>
        <v>31011.331669939758</v>
      </c>
      <c r="BV36" s="66">
        <f>SUM(BV24:BV29,BV34:BV35)</f>
        <v>31011.331669939758</v>
      </c>
      <c r="BY36" s="197">
        <f t="shared" ref="BY36:CE36" si="29">SUM(BY24:BY29,BY34:BY35)</f>
        <v>35829.331669939755</v>
      </c>
      <c r="BZ36" s="65">
        <f t="shared" si="29"/>
        <v>33347.331669939755</v>
      </c>
      <c r="CA36" s="65">
        <f t="shared" si="29"/>
        <v>26047.331669939758</v>
      </c>
      <c r="CB36" s="65">
        <f t="shared" si="29"/>
        <v>37435.331669939755</v>
      </c>
      <c r="CC36" s="65">
        <f t="shared" si="29"/>
        <v>39041.331669939755</v>
      </c>
      <c r="CD36" s="65">
        <f t="shared" si="29"/>
        <v>40647.331669939755</v>
      </c>
      <c r="CE36" s="131">
        <f t="shared" si="29"/>
        <v>30427.331669939758</v>
      </c>
      <c r="CF36" s="200">
        <f t="shared" si="20"/>
        <v>504459.98003927706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87900</v>
      </c>
      <c r="T37" s="44" t="str">
        <f>K22</f>
        <v>Frais de notaire ou d’avocat</v>
      </c>
      <c r="X37" s="113">
        <f>'Données à saisir'!C49</f>
        <v>114.28571428571429</v>
      </c>
      <c r="Y37" s="113">
        <f>'Données à saisir'!D49</f>
        <v>114.28571428571429</v>
      </c>
      <c r="Z37" s="236">
        <f>'Données à saisir'!E49</f>
        <v>114.28571428571429</v>
      </c>
      <c r="AC37" s="38" t="s">
        <v>23</v>
      </c>
      <c r="AG37" s="57">
        <f>'Données à saisir'!B133</f>
        <v>9000</v>
      </c>
      <c r="AH37" s="57">
        <f>'Données à saisir'!C133</f>
        <v>9200</v>
      </c>
      <c r="AI37" s="53">
        <f>'Données à saisir'!D133</f>
        <v>9400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155500</v>
      </c>
      <c r="BS37" s="65">
        <f>SUM(BS15:BS20)</f>
        <v>22000</v>
      </c>
      <c r="BT37" s="65">
        <f>SUM(BT15:BT20)</f>
        <v>26400</v>
      </c>
      <c r="BU37" s="65">
        <f>SUM(BU15:BU20)</f>
        <v>30800</v>
      </c>
      <c r="BV37" s="66">
        <f>SUM(BV15:BV20)</f>
        <v>30800</v>
      </c>
      <c r="BY37" s="197">
        <f t="shared" ref="BY37:CE37" si="30">SUM(BY15:BY20)</f>
        <v>37400</v>
      </c>
      <c r="BZ37" s="65">
        <f t="shared" si="30"/>
        <v>34000</v>
      </c>
      <c r="CA37" s="65">
        <f t="shared" si="30"/>
        <v>24000</v>
      </c>
      <c r="CB37" s="65">
        <f t="shared" si="30"/>
        <v>39600</v>
      </c>
      <c r="CC37" s="65">
        <f t="shared" si="30"/>
        <v>41800</v>
      </c>
      <c r="CD37" s="65">
        <f t="shared" si="30"/>
        <v>44000</v>
      </c>
      <c r="CE37" s="131">
        <f t="shared" si="30"/>
        <v>30000</v>
      </c>
      <c r="CF37" s="200">
        <f t="shared" ref="CF37" si="31">SUM(BR37:CE37)</f>
        <v>516300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87900</v>
      </c>
      <c r="T38" s="44"/>
      <c r="X38" s="113"/>
      <c r="Y38" s="113"/>
      <c r="Z38" s="236"/>
      <c r="AC38" s="123" t="s">
        <v>24</v>
      </c>
      <c r="AG38" s="104">
        <f>'Données à saisir'!B139</f>
        <v>6480</v>
      </c>
      <c r="AH38" s="104">
        <f>'Données à saisir'!C139</f>
        <v>6624</v>
      </c>
      <c r="AI38" s="120">
        <f>'Données à saisir'!D139</f>
        <v>6768</v>
      </c>
      <c r="AW38" s="162" t="s">
        <v>188</v>
      </c>
      <c r="AX38" s="108"/>
      <c r="AY38" s="108"/>
      <c r="AZ38" s="170">
        <f>'Données à saisir'!D128</f>
        <v>35</v>
      </c>
      <c r="BA38" s="176">
        <f>BA12/365*$AZ38</f>
        <v>26488</v>
      </c>
      <c r="BB38" s="177">
        <f>BB12/365*$AZ38</f>
        <v>30461.199999999997</v>
      </c>
      <c r="BC38" s="178">
        <f>BC12/365*$AZ38</f>
        <v>35030.380000000005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8224.6683300602308</v>
      </c>
      <c r="BT38" s="104">
        <f>BS40</f>
        <v>5637.3366601204725</v>
      </c>
      <c r="BU38" s="104">
        <f>BT40</f>
        <v>4238.0049901807142</v>
      </c>
      <c r="BV38" s="159">
        <f>BU40</f>
        <v>4026.6733202409559</v>
      </c>
      <c r="BY38" s="196">
        <f>BV40</f>
        <v>3815.3416503011977</v>
      </c>
      <c r="BZ38" s="104">
        <f t="shared" ref="BZ38:CE38" si="32">BY40</f>
        <v>5386.009980361443</v>
      </c>
      <c r="CA38" s="104">
        <f t="shared" si="32"/>
        <v>6038.6783104216884</v>
      </c>
      <c r="CB38" s="104">
        <f t="shared" si="32"/>
        <v>3991.3466404819301</v>
      </c>
      <c r="CC38" s="104">
        <f t="shared" si="32"/>
        <v>6156.0149705421754</v>
      </c>
      <c r="CD38" s="104">
        <f t="shared" si="32"/>
        <v>8914.6833006024208</v>
      </c>
      <c r="CE38" s="132">
        <f t="shared" si="32"/>
        <v>12267.351630662666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20000</v>
      </c>
      <c r="AI39" s="53">
        <f>'Données à saisir'!D134</f>
        <v>28000</v>
      </c>
      <c r="AW39" s="166" t="s">
        <v>191</v>
      </c>
      <c r="AX39" s="165"/>
      <c r="AY39" s="64"/>
      <c r="AZ39" s="167"/>
      <c r="BA39" s="173">
        <f>BA36-BA38</f>
        <v>-26488</v>
      </c>
      <c r="BB39" s="174">
        <f>BB36-BB38</f>
        <v>-30461.199999999997</v>
      </c>
      <c r="BC39" s="175">
        <f>BC36-BC38</f>
        <v>-35030.380000000005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8224.6683300602308</v>
      </c>
      <c r="BS39" s="57">
        <f t="shared" ref="BS39:CE39" si="33">BS37-BS36</f>
        <v>-2587.3316699397583</v>
      </c>
      <c r="BT39" s="57">
        <f t="shared" si="33"/>
        <v>-1399.3316699397583</v>
      </c>
      <c r="BU39" s="57">
        <f t="shared" si="33"/>
        <v>-211.33166993975829</v>
      </c>
      <c r="BV39" s="68">
        <f t="shared" si="33"/>
        <v>-211.33166993975829</v>
      </c>
      <c r="BW39" s="1"/>
      <c r="BX39" s="1"/>
      <c r="BY39" s="215">
        <f t="shared" si="33"/>
        <v>1570.6683300602454</v>
      </c>
      <c r="BZ39" s="57">
        <f t="shared" si="33"/>
        <v>652.66833006024535</v>
      </c>
      <c r="CA39" s="57">
        <f t="shared" si="33"/>
        <v>-2047.3316699397583</v>
      </c>
      <c r="CB39" s="57">
        <f t="shared" si="33"/>
        <v>2164.6683300602454</v>
      </c>
      <c r="CC39" s="57">
        <f t="shared" si="33"/>
        <v>2758.6683300602454</v>
      </c>
      <c r="CD39" s="57">
        <f t="shared" si="33"/>
        <v>3352.6683300602454</v>
      </c>
      <c r="CE39" s="74">
        <f t="shared" si="33"/>
        <v>-427.33166993975829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50000</v>
      </c>
      <c r="T40" s="107" t="s">
        <v>150</v>
      </c>
      <c r="U40" s="34"/>
      <c r="V40" s="34"/>
      <c r="W40" s="34"/>
      <c r="X40" s="110">
        <f>SUM(X42:X46)</f>
        <v>2071.4285714285716</v>
      </c>
      <c r="Y40" s="110">
        <f>SUM(Y42:Y46)</f>
        <v>2071.4285714285716</v>
      </c>
      <c r="Z40" s="237">
        <f>SUM(Z42:Z46)</f>
        <v>2071.4285714285716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14000</v>
      </c>
      <c r="AI40" s="120">
        <f>IF('Données à saisir'!C136="Oui",'Données à saisir'!I147,'Données à saisir'!D147)</f>
        <v>19600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8224.6683300602308</v>
      </c>
      <c r="BS40" s="65">
        <f>BS38+BS39</f>
        <v>5637.3366601204725</v>
      </c>
      <c r="BT40" s="65">
        <f>BT38+BT39</f>
        <v>4238.0049901807142</v>
      </c>
      <c r="BU40" s="65">
        <f>BU38+BU39</f>
        <v>4026.6733202409559</v>
      </c>
      <c r="BV40" s="66">
        <f t="shared" ref="BV40:CE40" si="34">BV38+BV39</f>
        <v>3815.3416503011977</v>
      </c>
      <c r="BY40" s="197">
        <f t="shared" si="34"/>
        <v>5386.009980361443</v>
      </c>
      <c r="BZ40" s="65">
        <f t="shared" si="34"/>
        <v>6038.6783104216884</v>
      </c>
      <c r="CA40" s="65">
        <f t="shared" si="34"/>
        <v>3991.3466404819301</v>
      </c>
      <c r="CB40" s="65">
        <f t="shared" si="34"/>
        <v>6156.0149705421754</v>
      </c>
      <c r="CC40" s="65">
        <f t="shared" si="34"/>
        <v>8914.6833006024208</v>
      </c>
      <c r="CD40" s="65">
        <f t="shared" si="34"/>
        <v>12267.351630662666</v>
      </c>
      <c r="CE40" s="131">
        <f t="shared" si="34"/>
        <v>11840.019960722908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50000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9268</v>
      </c>
      <c r="AH41" s="65">
        <f t="shared" ref="AH41:AI41" si="35">AH35-SUM(AH36:AH40)</f>
        <v>6979.2000000000116</v>
      </c>
      <c r="AI41" s="66">
        <f t="shared" si="35"/>
        <v>8539.179999999993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357.14285714285717</v>
      </c>
      <c r="Y42" s="113">
        <f>'Données à saisir'!D50</f>
        <v>357.14285714285717</v>
      </c>
      <c r="Z42" s="236">
        <f>'Données à saisir'!E50</f>
        <v>357.14285714285717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2285.1228964199222</v>
      </c>
      <c r="AH42" s="57">
        <f>'Données à saisir'!C90+SUM('Données à saisir'!H70:H72)</f>
        <v>2385.1228964199222</v>
      </c>
      <c r="AI42" s="53">
        <f>'Données à saisir'!D90+SUM('Données à saisir'!I70:I72)</f>
        <v>2485.1228964199222</v>
      </c>
      <c r="AL42" s="63" t="s">
        <v>162</v>
      </c>
      <c r="AM42" s="64"/>
      <c r="AN42" s="64"/>
      <c r="AO42" s="131">
        <f>AO27</f>
        <v>3701.1598237573517</v>
      </c>
      <c r="AP42" s="136"/>
      <c r="AQ42" s="131">
        <f>AQ27</f>
        <v>1670.6798237573619</v>
      </c>
      <c r="AR42" s="136"/>
      <c r="AS42" s="128">
        <f>AS27</f>
        <v>2911.6628237573459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2628.5714285714284</v>
      </c>
      <c r="AH43" s="57">
        <f>'Données à saisir'!D39</f>
        <v>2628.5714285714284</v>
      </c>
      <c r="AI43" s="53">
        <f>'Données à saisir'!E39</f>
        <v>2628.5714285714284</v>
      </c>
      <c r="AL43" s="122" t="s">
        <v>163</v>
      </c>
      <c r="AM43" s="1"/>
      <c r="AN43" s="1"/>
      <c r="AO43" s="132">
        <f>AO22</f>
        <v>2628.5714285714284</v>
      </c>
      <c r="AP43" s="137"/>
      <c r="AQ43" s="132">
        <f>AQ22</f>
        <v>2628.5714285714284</v>
      </c>
      <c r="AR43" s="137"/>
      <c r="AS43" s="127">
        <f>AS22</f>
        <v>2628.5714285714284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1000</v>
      </c>
      <c r="Y44" s="113">
        <f>'Données à saisir'!D52</f>
        <v>1000</v>
      </c>
      <c r="Z44" s="236">
        <f>'Données à saisir'!E52</f>
        <v>1000</v>
      </c>
      <c r="AC44" s="63" t="s">
        <v>131</v>
      </c>
      <c r="AD44" s="64"/>
      <c r="AE44" s="64"/>
      <c r="AF44" s="64"/>
      <c r="AG44" s="65">
        <f>AG41-AG42-AG43</f>
        <v>4354.3056750086498</v>
      </c>
      <c r="AH44" s="65">
        <f t="shared" ref="AH44:AI44" si="37">AH41-AH42-AH43</f>
        <v>1965.5056750086615</v>
      </c>
      <c r="AI44" s="66">
        <f t="shared" si="37"/>
        <v>3425.4856750086428</v>
      </c>
      <c r="AL44" s="63" t="s">
        <v>160</v>
      </c>
      <c r="AM44" s="64"/>
      <c r="AN44" s="64"/>
      <c r="AO44" s="131">
        <f>AO42+AO43</f>
        <v>6329.7312523287801</v>
      </c>
      <c r="AP44" s="136"/>
      <c r="AQ44" s="131">
        <f t="shared" ref="AQ44:AS44" si="38">AQ42+AQ43</f>
        <v>4299.2512523287905</v>
      </c>
      <c r="AR44" s="136"/>
      <c r="AS44" s="128">
        <f t="shared" si="38"/>
        <v>5540.2342523287743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428.57142857142856</v>
      </c>
      <c r="Y45" s="113">
        <f>'Données à saisir'!D53</f>
        <v>428.57142857142856</v>
      </c>
      <c r="Z45" s="236">
        <f>'Données à saisir'!E53</f>
        <v>428.57142857142856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653.14585125129747</v>
      </c>
      <c r="AH45" s="57">
        <f>IF(AC45="Impôt sur les sociétés",IF(AH44&lt;0,0,IF(AH44&gt;38120,38120*0.15+(AH44-38120)*25%,AH44*0.15)),"")</f>
        <v>294.82585125129918</v>
      </c>
      <c r="AI45" s="53">
        <f>+IF(AC45="Impôt sur les sociétés",IF(AI44&lt;0,0,IF(AI44&gt;38120,38120*0.15+(AI44-38120)*25%,AI44*0.15)),"")</f>
        <v>513.82285125129636</v>
      </c>
      <c r="AL45" s="123" t="s">
        <v>164</v>
      </c>
      <c r="AO45" s="132">
        <f>IF(ISERROR(SUM('Données à saisir'!J70:J72)),0,SUM('Données à saisir'!J70:J72))</f>
        <v>7142.8571428571422</v>
      </c>
      <c r="AP45" s="137"/>
      <c r="AQ45" s="132">
        <f>SUM('Données à saisir'!K70:K72)</f>
        <v>7142.8571428571422</v>
      </c>
      <c r="AR45" s="137"/>
      <c r="AS45" s="127">
        <f>SUM('Données à saisir'!L70:L72)</f>
        <v>7142.8571428571422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285.71428571428572</v>
      </c>
      <c r="Y46" s="113">
        <f>'Données à saisir'!D54</f>
        <v>285.71428571428572</v>
      </c>
      <c r="Z46" s="236">
        <f>'Données à saisir'!E54</f>
        <v>285.71428571428572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-813.12589052836211</v>
      </c>
      <c r="AP46" s="138"/>
      <c r="AQ46" s="133">
        <f>AQ44-AQ45</f>
        <v>-2843.6058905283517</v>
      </c>
      <c r="AR46" s="138"/>
      <c r="AS46" s="129">
        <f>AS44-AS45</f>
        <v>-1602.6228905283679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44995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3701.1598237573526</v>
      </c>
      <c r="AH47" s="65">
        <f t="shared" ref="AH47:AI47" si="39">AH44-SUM(AH45)</f>
        <v>1670.6798237573623</v>
      </c>
      <c r="AI47" s="66">
        <f t="shared" si="39"/>
        <v>2911.6628237573464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137900</v>
      </c>
      <c r="T48" s="109" t="s">
        <v>151</v>
      </c>
      <c r="U48" s="108"/>
      <c r="V48" s="108"/>
      <c r="W48" s="108"/>
      <c r="X48" s="112">
        <f>SUM(X31,X40)</f>
        <v>2628.5714285714284</v>
      </c>
      <c r="Y48" s="112">
        <f>SUM(Y31,Y40)</f>
        <v>2628.5714285714284</v>
      </c>
      <c r="Z48" s="118">
        <f>SUM(Z31,Z40)</f>
        <v>2628.5714285714284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24304.305675008651</v>
      </c>
      <c r="AH52" s="90">
        <f>AH35-SUM(AH36:AH38,AH42:AH43)</f>
        <v>35965.505675008666</v>
      </c>
      <c r="AI52" s="90">
        <f>AI35-SUM(AI36:AI38,AI42:AI43)</f>
        <v>51025.485675008647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2023-03-10T09:09:37Z</dcterms:modified>
</cp:coreProperties>
</file>